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codeName="BuÇalışmaKitabı" defaultThemeVersion="164011"/>
  <workbookProtection workbookAlgorithmName="SHA-512" workbookHashValue="rm63Qf7nBv8nzBBF7ZfajHgV2Mr2mmZSU5XoRCIG4QxgygWoEKcRsAR2qfP2y4o9X1VCVZ1N60a6UhqrP0kztw==" workbookSaltValue="OHCrpeXAQ/sCWnM2vmil4Q==" workbookSpinCount="100000" lockStructure="1"/>
  <bookViews>
    <workbookView xWindow="0" yWindow="0" windowWidth="28800" windowHeight="12315"/>
  </bookViews>
  <sheets>
    <sheet name="Sıvılaşma Potansiyeli Analizi" sheetId="1" r:id="rId1"/>
    <sheet name="Oturma-Yanal Yay. ve Muk. Kaybı" sheetId="3" r:id="rId2"/>
    <sheet name="Killerin sıvılaşma duyarlılığı" sheetId="6" r:id="rId3"/>
    <sheet name="Tablolar" sheetId="2" state="hidden" r:id="rId4"/>
  </sheets>
  <definedNames>
    <definedName name="_xlnm.Print_Area" localSheetId="1">'Oturma-Yanal Yay. ve Muk. Kaybı'!$B$2:$EI$36</definedName>
    <definedName name="_xlnm.Print_Area" localSheetId="0">'Sıvılaşma Potansiyeli Analizi'!$B$2:$EJ$36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 i="6" l="1"/>
  <c r="E7" i="6"/>
  <c r="E6" i="6"/>
  <c r="E5" i="6"/>
  <c r="E4" i="6"/>
  <c r="E3" i="6"/>
  <c r="E9" i="6"/>
  <c r="E10" i="6"/>
  <c r="E11" i="6"/>
  <c r="E12" i="6"/>
  <c r="E13" i="6"/>
  <c r="E14" i="6"/>
  <c r="E15" i="6"/>
  <c r="E16" i="6"/>
  <c r="E17" i="6"/>
  <c r="E18" i="6"/>
  <c r="E19" i="6"/>
  <c r="E20" i="6"/>
  <c r="E21" i="6"/>
  <c r="E2" i="6"/>
  <c r="AD5" i="3" l="1"/>
  <c r="E28" i="3" l="1"/>
  <c r="E29" i="3"/>
  <c r="E30" i="3"/>
  <c r="E31" i="3"/>
  <c r="E32" i="3"/>
  <c r="I18" i="3"/>
  <c r="I19" i="3"/>
  <c r="I20" i="3"/>
  <c r="I22" i="3"/>
  <c r="I23" i="3"/>
  <c r="I24" i="3"/>
  <c r="I25" i="3"/>
  <c r="I26" i="3"/>
  <c r="I27" i="3"/>
  <c r="I28" i="3"/>
  <c r="I29" i="3"/>
  <c r="I30" i="3"/>
  <c r="I31" i="3"/>
  <c r="I32" i="3"/>
  <c r="E18" i="3" l="1"/>
  <c r="BG27" i="1" l="1"/>
  <c r="BG17" i="1" l="1"/>
  <c r="BD18" i="1"/>
  <c r="BD17" i="1"/>
  <c r="AX31" i="1"/>
  <c r="AX30" i="1"/>
  <c r="AX29" i="1"/>
  <c r="AX28" i="1"/>
  <c r="AX27" i="1"/>
  <c r="AX26" i="1"/>
  <c r="AX25" i="1"/>
  <c r="AX24" i="1"/>
  <c r="AX23" i="1"/>
  <c r="AX22" i="1"/>
  <c r="AX21" i="1"/>
  <c r="AX20" i="1"/>
  <c r="AX19" i="1"/>
  <c r="AX18" i="1"/>
  <c r="AX17" i="1"/>
  <c r="AM31" i="1"/>
  <c r="AQ31" i="1" s="1"/>
  <c r="AM30" i="1"/>
  <c r="AQ30" i="1" s="1"/>
  <c r="AM29" i="1"/>
  <c r="AQ29" i="1" s="1"/>
  <c r="AM28" i="1"/>
  <c r="AQ28" i="1" s="1"/>
  <c r="AM27" i="1"/>
  <c r="AQ27" i="1" s="1"/>
  <c r="AM26" i="1"/>
  <c r="AQ26" i="1" s="1"/>
  <c r="AM25" i="1"/>
  <c r="AQ25" i="1" s="1"/>
  <c r="AM24" i="1"/>
  <c r="AQ24" i="1" s="1"/>
  <c r="AM23" i="1"/>
  <c r="AQ23" i="1" s="1"/>
  <c r="AM22" i="1"/>
  <c r="AQ22" i="1" s="1"/>
  <c r="AM21" i="1"/>
  <c r="AQ21" i="1" s="1"/>
  <c r="AM20" i="1"/>
  <c r="AQ20" i="1" s="1"/>
  <c r="AM19" i="1"/>
  <c r="AQ19" i="1" s="1"/>
  <c r="AM18" i="1"/>
  <c r="AQ18" i="1" s="1"/>
  <c r="AM17" i="1"/>
  <c r="E33" i="3" l="1"/>
  <c r="AO11" i="3" l="1"/>
  <c r="BW11" i="3" l="1"/>
  <c r="AQ17" i="1"/>
  <c r="BE8" i="3" l="1"/>
  <c r="L28" i="3" l="1"/>
  <c r="L29" i="3"/>
  <c r="L30" i="3"/>
  <c r="L31" i="3"/>
  <c r="CE9" i="3" l="1"/>
  <c r="DX21" i="3" s="1"/>
  <c r="BE11" i="3" l="1"/>
  <c r="AA11" i="3"/>
  <c r="BN9" i="3"/>
  <c r="CE8" i="3"/>
  <c r="BW7" i="3"/>
  <c r="AW9" i="3"/>
  <c r="CE7" i="3"/>
  <c r="BN7" i="3"/>
  <c r="BE7" i="3"/>
  <c r="AD8" i="3"/>
  <c r="AD7" i="3"/>
  <c r="AD6" i="3"/>
  <c r="Q18" i="3" l="1"/>
  <c r="Q20" i="3"/>
  <c r="Q21" i="3"/>
  <c r="Q22" i="3"/>
  <c r="Q23" i="3"/>
  <c r="Q24" i="3"/>
  <c r="Q25" i="3"/>
  <c r="Q26" i="3"/>
  <c r="Q27" i="3"/>
  <c r="Q28" i="3"/>
  <c r="Q29" i="3"/>
  <c r="Q30" i="3"/>
  <c r="Q31" i="3"/>
  <c r="Q32" i="3"/>
  <c r="Q19" i="3"/>
  <c r="L20" i="3"/>
  <c r="L21" i="3"/>
  <c r="L22" i="3"/>
  <c r="L23" i="3"/>
  <c r="L24" i="3"/>
  <c r="L25" i="3"/>
  <c r="L26" i="3"/>
  <c r="L27" i="3"/>
  <c r="L32" i="3"/>
  <c r="L19" i="3"/>
  <c r="L18" i="3"/>
  <c r="E20" i="3"/>
  <c r="E21" i="3"/>
  <c r="E22" i="3"/>
  <c r="E23" i="3"/>
  <c r="E24" i="3"/>
  <c r="E25" i="3"/>
  <c r="E26" i="3"/>
  <c r="E27" i="3"/>
  <c r="E19" i="3"/>
  <c r="B20" i="3"/>
  <c r="B21" i="3"/>
  <c r="B22" i="3"/>
  <c r="B23" i="3"/>
  <c r="B24" i="3"/>
  <c r="B25" i="3"/>
  <c r="B26" i="3"/>
  <c r="B27" i="3"/>
  <c r="B28" i="3"/>
  <c r="B29" i="3"/>
  <c r="B30" i="3"/>
  <c r="B31" i="3"/>
  <c r="B32" i="3"/>
  <c r="B19" i="3"/>
  <c r="B18" i="3"/>
  <c r="BG19" i="1" l="1"/>
  <c r="BG20" i="1"/>
  <c r="BG21" i="1"/>
  <c r="BG22" i="1"/>
  <c r="BG23" i="1"/>
  <c r="BG24" i="1"/>
  <c r="BG25" i="1"/>
  <c r="BG26" i="1"/>
  <c r="BG28" i="1"/>
  <c r="BG29" i="1"/>
  <c r="BG30" i="1"/>
  <c r="BG31" i="1"/>
  <c r="BG18" i="1"/>
  <c r="V20" i="3" l="1"/>
  <c r="V21" i="3"/>
  <c r="V22" i="3"/>
  <c r="V23" i="3"/>
  <c r="V24" i="3"/>
  <c r="V25" i="3"/>
  <c r="V26" i="3"/>
  <c r="V27" i="3"/>
  <c r="V28" i="3"/>
  <c r="V29" i="3"/>
  <c r="V30" i="3"/>
  <c r="V31" i="3"/>
  <c r="V32" i="3"/>
  <c r="V19" i="3"/>
  <c r="V18" i="3"/>
  <c r="HW17" i="1" l="1"/>
  <c r="BD19" i="1" s="1"/>
  <c r="HV17" i="1"/>
  <c r="BA19" i="1" l="1"/>
  <c r="BA18" i="1"/>
  <c r="BA17" i="1"/>
  <c r="BA31" i="1"/>
  <c r="BA23" i="1"/>
  <c r="BA30" i="1"/>
  <c r="BA22" i="1"/>
  <c r="BA29" i="1"/>
  <c r="BA21" i="1"/>
  <c r="BA28" i="1"/>
  <c r="BA20" i="1"/>
  <c r="BA27" i="1"/>
  <c r="BA26" i="1"/>
  <c r="BA25" i="1"/>
  <c r="BA24" i="1"/>
  <c r="BD24" i="1"/>
  <c r="BD31" i="1"/>
  <c r="BD23" i="1"/>
  <c r="BD30" i="1"/>
  <c r="BD22" i="1"/>
  <c r="BD29" i="1"/>
  <c r="BD21" i="1"/>
  <c r="BD28" i="1"/>
  <c r="BD20" i="1"/>
  <c r="BD27" i="1"/>
  <c r="BD25" i="1"/>
  <c r="BD26" i="1"/>
  <c r="HS26" i="1"/>
  <c r="AU26" i="1" s="1"/>
  <c r="HS29" i="1"/>
  <c r="AU29" i="1" s="1"/>
  <c r="HS31" i="1"/>
  <c r="AU31" i="1" s="1"/>
  <c r="BJ29" i="1" l="1"/>
  <c r="BN29" i="1" s="1"/>
  <c r="CF29" i="1" s="1"/>
  <c r="BJ31" i="1"/>
  <c r="BJ26" i="1"/>
  <c r="HS30" i="1"/>
  <c r="AU30" i="1" s="1"/>
  <c r="BJ30" i="1" s="1"/>
  <c r="HS33" i="1"/>
  <c r="HS28" i="1"/>
  <c r="AU28" i="1" s="1"/>
  <c r="BJ28" i="1" s="1"/>
  <c r="HS27" i="1"/>
  <c r="AU27" i="1" s="1"/>
  <c r="BJ27" i="1" s="1"/>
  <c r="CN27" i="1" s="1"/>
  <c r="BD28" i="3" s="1"/>
  <c r="BN26" i="1" l="1"/>
  <c r="BY26" i="1" s="1"/>
  <c r="CN26" i="1"/>
  <c r="BD27" i="3" s="1"/>
  <c r="BN31" i="1"/>
  <c r="BY31" i="1" s="1"/>
  <c r="BT26" i="1"/>
  <c r="CB26" i="1" s="1"/>
  <c r="CF31" i="1"/>
  <c r="CJ31" i="1" s="1"/>
  <c r="BY29" i="1"/>
  <c r="BN28" i="1"/>
  <c r="CF28" i="1" s="1"/>
  <c r="BT29" i="1"/>
  <c r="CF26" i="1"/>
  <c r="CJ26" i="1" s="1"/>
  <c r="BN30" i="1"/>
  <c r="BT30" i="1" s="1"/>
  <c r="CJ29" i="1"/>
  <c r="BN27" i="1"/>
  <c r="BT27" i="1" s="1"/>
  <c r="HS17" i="1"/>
  <c r="AU17" i="1" s="1"/>
  <c r="BJ17" i="1" s="1"/>
  <c r="CN17" i="1" s="1"/>
  <c r="BD18" i="3" s="1"/>
  <c r="BT31" i="1" l="1"/>
  <c r="CB31" i="1" s="1"/>
  <c r="CN31" i="1" s="1"/>
  <c r="BD32" i="3" s="1"/>
  <c r="CB29" i="1"/>
  <c r="CN29" i="1" s="1"/>
  <c r="BT28" i="1"/>
  <c r="BY27" i="1"/>
  <c r="CB27" i="1" s="1"/>
  <c r="BN17" i="1"/>
  <c r="CF17" i="1" s="1"/>
  <c r="CF30" i="1"/>
  <c r="CJ30" i="1" s="1"/>
  <c r="CF27" i="1"/>
  <c r="CJ27" i="1" s="1"/>
  <c r="BY30" i="1"/>
  <c r="CB30" i="1" s="1"/>
  <c r="CN30" i="1" s="1"/>
  <c r="BD31" i="3" s="1"/>
  <c r="BY28" i="1"/>
  <c r="CJ28" i="1"/>
  <c r="HS22" i="1"/>
  <c r="AU22" i="1" s="1"/>
  <c r="BJ22" i="1" s="1"/>
  <c r="HS23" i="1"/>
  <c r="AU23" i="1" s="1"/>
  <c r="BJ23" i="1" s="1"/>
  <c r="HS24" i="1"/>
  <c r="AU24" i="1" s="1"/>
  <c r="BJ24" i="1" s="1"/>
  <c r="HS25" i="1"/>
  <c r="AU25" i="1" s="1"/>
  <c r="BJ25" i="1" s="1"/>
  <c r="HS21" i="1"/>
  <c r="AU21" i="1" s="1"/>
  <c r="BJ21" i="1" s="1"/>
  <c r="HS20" i="1"/>
  <c r="AU20" i="1" s="1"/>
  <c r="BJ20" i="1" s="1"/>
  <c r="HS18" i="1"/>
  <c r="AU18" i="1" s="1"/>
  <c r="BJ18" i="1" s="1"/>
  <c r="CN18" i="1" s="1"/>
  <c r="BD19" i="3" s="1"/>
  <c r="HS19" i="1"/>
  <c r="AU19" i="1" s="1"/>
  <c r="BJ19" i="1" s="1"/>
  <c r="DX26" i="1" l="1"/>
  <c r="EB29" i="1"/>
  <c r="EB31" i="1"/>
  <c r="CB28" i="1"/>
  <c r="CN28" i="1" s="1"/>
  <c r="BD29" i="3" s="1"/>
  <c r="BD30" i="3" s="1"/>
  <c r="DG31" i="1"/>
  <c r="DX31" i="1"/>
  <c r="DC31" i="1"/>
  <c r="DK31" i="1"/>
  <c r="DT31" i="1"/>
  <c r="DX29" i="1"/>
  <c r="EB26" i="1"/>
  <c r="DK26" i="1"/>
  <c r="DK29" i="1"/>
  <c r="BT17" i="1"/>
  <c r="BY17" i="1"/>
  <c r="CJ17" i="1"/>
  <c r="BN18" i="1"/>
  <c r="BN24" i="1"/>
  <c r="BN23" i="1"/>
  <c r="CF23" i="1" s="1"/>
  <c r="BN21" i="1"/>
  <c r="CF21" i="1" s="1"/>
  <c r="CJ21" i="1" s="1"/>
  <c r="BN19" i="1"/>
  <c r="BT19" i="1" s="1"/>
  <c r="BN25" i="1"/>
  <c r="BT25" i="1" s="1"/>
  <c r="BN22" i="1"/>
  <c r="CF22" i="1" s="1"/>
  <c r="BN20" i="1"/>
  <c r="CF20" i="1" s="1"/>
  <c r="CJ20" i="1" s="1"/>
  <c r="DG29" i="1"/>
  <c r="DG26" i="1"/>
  <c r="Z32" i="3"/>
  <c r="CR31" i="1"/>
  <c r="AD32" i="3" s="1"/>
  <c r="Z30" i="3"/>
  <c r="CR29" i="1"/>
  <c r="AD30" i="3" s="1"/>
  <c r="Z27" i="3"/>
  <c r="CR26" i="1"/>
  <c r="AD27" i="3" s="1"/>
  <c r="DO32" i="3" l="1"/>
  <c r="DX28" i="1"/>
  <c r="DX27" i="1"/>
  <c r="DO27" i="3"/>
  <c r="DO31" i="1"/>
  <c r="AO27" i="3"/>
  <c r="AT27" i="3"/>
  <c r="AT32" i="3"/>
  <c r="AO32" i="3"/>
  <c r="AO30" i="3"/>
  <c r="AT30" i="3"/>
  <c r="CB17" i="1"/>
  <c r="EF31" i="1"/>
  <c r="DI32" i="3"/>
  <c r="DK28" i="1"/>
  <c r="EB28" i="1"/>
  <c r="EB27" i="1"/>
  <c r="BT21" i="1"/>
  <c r="DK27" i="1"/>
  <c r="BT22" i="1"/>
  <c r="DI27" i="3"/>
  <c r="DI30" i="3"/>
  <c r="CF24" i="1"/>
  <c r="CJ24" i="1" s="1"/>
  <c r="BY22" i="1"/>
  <c r="CF19" i="1"/>
  <c r="CJ19" i="1" s="1"/>
  <c r="BY24" i="1"/>
  <c r="BT18" i="1"/>
  <c r="CJ22" i="1"/>
  <c r="BY18" i="1"/>
  <c r="BT24" i="1"/>
  <c r="CF18" i="1"/>
  <c r="CJ18" i="1" s="1"/>
  <c r="BY19" i="1"/>
  <c r="CB19" i="1" s="1"/>
  <c r="BT20" i="1"/>
  <c r="BY23" i="1"/>
  <c r="BY20" i="1"/>
  <c r="BY21" i="1"/>
  <c r="BT23" i="1"/>
  <c r="CF25" i="1"/>
  <c r="CJ25" i="1" s="1"/>
  <c r="CJ23" i="1"/>
  <c r="BY25" i="1"/>
  <c r="CB25" i="1" s="1"/>
  <c r="EB30" i="1"/>
  <c r="DK30" i="1"/>
  <c r="DX30" i="1"/>
  <c r="DG28" i="1"/>
  <c r="DG27" i="1"/>
  <c r="DG30" i="1"/>
  <c r="CN27" i="3"/>
  <c r="CN32" i="3"/>
  <c r="CN30" i="3"/>
  <c r="Z28" i="3"/>
  <c r="Z29" i="3"/>
  <c r="CR28" i="1"/>
  <c r="AD29" i="3" s="1"/>
  <c r="BW32" i="3"/>
  <c r="CB32" i="3" s="1"/>
  <c r="CG32" i="3" s="1"/>
  <c r="CY32" i="3"/>
  <c r="DC32" i="3" s="1"/>
  <c r="CK32" i="3"/>
  <c r="CY30" i="3"/>
  <c r="DC30" i="3" s="1"/>
  <c r="CR30" i="1"/>
  <c r="AD31" i="3" s="1"/>
  <c r="Z31" i="3"/>
  <c r="CK30" i="3"/>
  <c r="BW30" i="3"/>
  <c r="CB30" i="3" s="1"/>
  <c r="CK27" i="3"/>
  <c r="CR27" i="1"/>
  <c r="AD28" i="3" s="1"/>
  <c r="CY27" i="3"/>
  <c r="DC27" i="3" s="1"/>
  <c r="BW27" i="3"/>
  <c r="CB27" i="3" s="1"/>
  <c r="CN19" i="1" l="1"/>
  <c r="BD20" i="3" s="1"/>
  <c r="CN25" i="1"/>
  <c r="AY30" i="3"/>
  <c r="BN30" i="3" s="1"/>
  <c r="CB18" i="1"/>
  <c r="AY27" i="3"/>
  <c r="AY32" i="3"/>
  <c r="AT31" i="3"/>
  <c r="AO31" i="3"/>
  <c r="AO29" i="3"/>
  <c r="AT29" i="3"/>
  <c r="AT28" i="3"/>
  <c r="AO28" i="3"/>
  <c r="Z18" i="3"/>
  <c r="CB22" i="1"/>
  <c r="CN22" i="1" s="1"/>
  <c r="CB20" i="1"/>
  <c r="CN20" i="1" s="1"/>
  <c r="BD21" i="3" s="1"/>
  <c r="CB21" i="1"/>
  <c r="CN21" i="1" s="1"/>
  <c r="CB23" i="1"/>
  <c r="CN23" i="1" s="1"/>
  <c r="CB24" i="1"/>
  <c r="CN24" i="1" s="1"/>
  <c r="CU32" i="3"/>
  <c r="CQ32" i="3"/>
  <c r="CR17" i="1"/>
  <c r="AD18" i="3" s="1"/>
  <c r="CU27" i="3"/>
  <c r="CU30" i="3"/>
  <c r="CQ30" i="3"/>
  <c r="DI29" i="3"/>
  <c r="DI31" i="3"/>
  <c r="CQ27" i="3"/>
  <c r="DI28" i="3"/>
  <c r="DC17" i="1"/>
  <c r="DG17" i="1"/>
  <c r="DT17" i="1"/>
  <c r="DK17" i="1"/>
  <c r="EB17" i="1"/>
  <c r="DX17" i="1"/>
  <c r="BW28" i="3"/>
  <c r="CB28" i="3" s="1"/>
  <c r="CN28" i="3"/>
  <c r="CN31" i="3"/>
  <c r="CN29" i="3"/>
  <c r="CY28" i="3"/>
  <c r="DC28" i="3" s="1"/>
  <c r="CK28" i="3"/>
  <c r="CY29" i="3"/>
  <c r="DC29" i="3" s="1"/>
  <c r="BW29" i="3"/>
  <c r="CB29" i="3" s="1"/>
  <c r="CK29" i="3"/>
  <c r="CK31" i="3"/>
  <c r="BW31" i="3"/>
  <c r="CB31" i="3" s="1"/>
  <c r="CY31" i="3"/>
  <c r="DC31" i="3" s="1"/>
  <c r="BD22" i="3" l="1"/>
  <c r="BD23" i="3" s="1"/>
  <c r="BD24" i="3" s="1"/>
  <c r="BD25" i="3" s="1"/>
  <c r="BD26" i="3" s="1"/>
  <c r="BN18" i="3"/>
  <c r="BI18" i="3"/>
  <c r="AY29" i="3"/>
  <c r="BN32" i="3"/>
  <c r="BS32" i="3" s="1"/>
  <c r="BI32" i="3"/>
  <c r="BI27" i="3"/>
  <c r="BN27" i="3"/>
  <c r="BS27" i="3" s="1"/>
  <c r="DX18" i="1"/>
  <c r="DX22" i="1"/>
  <c r="CN18" i="3"/>
  <c r="B22" i="2" s="1"/>
  <c r="DO18" i="3"/>
  <c r="EB21" i="1"/>
  <c r="DX24" i="1"/>
  <c r="AY31" i="3"/>
  <c r="AY28" i="3"/>
  <c r="CY18" i="3"/>
  <c r="DC18" i="3" s="1"/>
  <c r="DI18" i="3"/>
  <c r="BW18" i="3"/>
  <c r="CB18" i="3" s="1"/>
  <c r="CG18" i="3" s="1"/>
  <c r="AT18" i="3"/>
  <c r="AO18" i="3"/>
  <c r="CK18" i="3"/>
  <c r="EB25" i="1"/>
  <c r="EB20" i="1"/>
  <c r="DX20" i="1"/>
  <c r="DK21" i="1"/>
  <c r="DX21" i="1"/>
  <c r="DK22" i="1"/>
  <c r="EB22" i="1"/>
  <c r="EB18" i="1"/>
  <c r="DG18" i="1"/>
  <c r="Z19" i="3"/>
  <c r="DK18" i="1"/>
  <c r="CU31" i="3"/>
  <c r="DG20" i="1"/>
  <c r="DK20" i="1"/>
  <c r="CQ31" i="3"/>
  <c r="CU29" i="3"/>
  <c r="CQ28" i="3"/>
  <c r="DK25" i="1"/>
  <c r="EB24" i="1"/>
  <c r="DX25" i="1"/>
  <c r="CU28" i="3"/>
  <c r="CQ29" i="3"/>
  <c r="DK24" i="1"/>
  <c r="DO17" i="1"/>
  <c r="EF17" i="1"/>
  <c r="DC18" i="1"/>
  <c r="DX19" i="1"/>
  <c r="EB19" i="1"/>
  <c r="DK19" i="1"/>
  <c r="DT18" i="1"/>
  <c r="DK23" i="1"/>
  <c r="DX23" i="1"/>
  <c r="EB23" i="1"/>
  <c r="DG21" i="1"/>
  <c r="DG24" i="1"/>
  <c r="DG22" i="1"/>
  <c r="DG19" i="1"/>
  <c r="DG23" i="1"/>
  <c r="Z20" i="3"/>
  <c r="Z22" i="3"/>
  <c r="Z23" i="3"/>
  <c r="CR24" i="1"/>
  <c r="AD25" i="3" s="1"/>
  <c r="Z25" i="3"/>
  <c r="CR23" i="1"/>
  <c r="AD24" i="3" s="1"/>
  <c r="Z24" i="3"/>
  <c r="CR19" i="1"/>
  <c r="AD20" i="3" s="1"/>
  <c r="CR20" i="1"/>
  <c r="AD21" i="3" s="1"/>
  <c r="Z21" i="3"/>
  <c r="CR18" i="1"/>
  <c r="AD19" i="3" s="1"/>
  <c r="CR21" i="1"/>
  <c r="AD22" i="3" s="1"/>
  <c r="CR22" i="1"/>
  <c r="AD23" i="3" s="1"/>
  <c r="BI19" i="3" l="1"/>
  <c r="BN19" i="3"/>
  <c r="AY18" i="3"/>
  <c r="CQ18" i="3"/>
  <c r="BS18" i="3"/>
  <c r="CU18" i="3"/>
  <c r="BN29" i="3"/>
  <c r="BN28" i="3"/>
  <c r="BN31" i="3"/>
  <c r="DO25" i="3"/>
  <c r="DO20" i="3"/>
  <c r="DO19" i="3"/>
  <c r="AT24" i="3"/>
  <c r="AO24" i="3"/>
  <c r="AT25" i="3"/>
  <c r="AO25" i="3"/>
  <c r="AT23" i="3"/>
  <c r="AO23" i="3"/>
  <c r="AT21" i="3"/>
  <c r="AO21" i="3"/>
  <c r="AT22" i="3"/>
  <c r="AO22" i="3"/>
  <c r="AO19" i="3"/>
  <c r="AT19" i="3"/>
  <c r="AO20" i="3"/>
  <c r="AT20" i="3"/>
  <c r="DT19" i="1"/>
  <c r="DO21" i="3" s="1"/>
  <c r="CK19" i="3"/>
  <c r="DI19" i="3"/>
  <c r="CY19" i="3"/>
  <c r="DC19" i="3" s="1"/>
  <c r="CN19" i="3"/>
  <c r="BW19" i="3"/>
  <c r="CB19" i="3" s="1"/>
  <c r="CG19" i="3" s="1"/>
  <c r="DO18" i="1"/>
  <c r="CK22" i="3"/>
  <c r="DI22" i="3"/>
  <c r="DI20" i="3"/>
  <c r="DI23" i="3"/>
  <c r="DI21" i="3"/>
  <c r="DI24" i="3"/>
  <c r="DI25" i="3"/>
  <c r="DC19" i="1"/>
  <c r="DO19" i="1" s="1"/>
  <c r="EF18" i="1"/>
  <c r="CR25" i="1"/>
  <c r="AD26" i="3" s="1"/>
  <c r="CY22" i="3"/>
  <c r="DC22" i="3" s="1"/>
  <c r="Z26" i="3"/>
  <c r="BW22" i="3"/>
  <c r="CB22" i="3" s="1"/>
  <c r="DG25" i="1"/>
  <c r="BW20" i="3"/>
  <c r="CB20" i="3" s="1"/>
  <c r="CN20" i="3"/>
  <c r="CK23" i="3"/>
  <c r="CN23" i="3"/>
  <c r="CN24" i="3"/>
  <c r="CN22" i="3"/>
  <c r="CK20" i="3"/>
  <c r="CN25" i="3"/>
  <c r="CN21" i="3"/>
  <c r="BW23" i="3"/>
  <c r="CB23" i="3" s="1"/>
  <c r="CY20" i="3"/>
  <c r="DC20" i="3" s="1"/>
  <c r="CY23" i="3"/>
  <c r="DC23" i="3" s="1"/>
  <c r="CK21" i="3"/>
  <c r="CY25" i="3"/>
  <c r="DC25" i="3" s="1"/>
  <c r="BW25" i="3"/>
  <c r="CB25" i="3" s="1"/>
  <c r="CK25" i="3"/>
  <c r="CK24" i="3"/>
  <c r="BW24" i="3"/>
  <c r="CB24" i="3" s="1"/>
  <c r="CY24" i="3"/>
  <c r="DC24" i="3" s="1"/>
  <c r="BW21" i="3"/>
  <c r="CB21" i="3" s="1"/>
  <c r="CY21" i="3"/>
  <c r="DC21" i="3" s="1"/>
  <c r="AY25" i="3" l="1"/>
  <c r="AY22" i="3"/>
  <c r="AY19" i="3"/>
  <c r="DO26" i="3"/>
  <c r="AY24" i="3"/>
  <c r="DC20" i="1"/>
  <c r="DO20" i="1" s="1"/>
  <c r="AY20" i="3"/>
  <c r="AY21" i="3"/>
  <c r="AY23" i="3"/>
  <c r="EF19" i="1"/>
  <c r="AT26" i="3"/>
  <c r="AO26" i="3"/>
  <c r="DT20" i="1"/>
  <c r="DC21" i="1" s="1"/>
  <c r="DO21" i="1" s="1"/>
  <c r="CU24" i="3"/>
  <c r="CG20" i="3"/>
  <c r="CG21" i="3"/>
  <c r="CQ19" i="3"/>
  <c r="CU19" i="3"/>
  <c r="CQ24" i="3"/>
  <c r="CQ22" i="3"/>
  <c r="CQ21" i="3"/>
  <c r="CU20" i="3"/>
  <c r="CU21" i="3"/>
  <c r="CQ23" i="3"/>
  <c r="CQ25" i="3"/>
  <c r="CQ20" i="3"/>
  <c r="CU22" i="3"/>
  <c r="CU23" i="3"/>
  <c r="CU25" i="3"/>
  <c r="BW26" i="3"/>
  <c r="CB26" i="3" s="1"/>
  <c r="DI26" i="3"/>
  <c r="CY26" i="3"/>
  <c r="DC26" i="3" s="1"/>
  <c r="CK26" i="3"/>
  <c r="CN26" i="3"/>
  <c r="BN21" i="3" l="1"/>
  <c r="BI21" i="3"/>
  <c r="BN20" i="3"/>
  <c r="BI20" i="3"/>
  <c r="BN22" i="3"/>
  <c r="BI22" i="3"/>
  <c r="AY26" i="3"/>
  <c r="BN26" i="3" s="1"/>
  <c r="CU26" i="3"/>
  <c r="BN24" i="3"/>
  <c r="BN25" i="3"/>
  <c r="BS25" i="3" s="1"/>
  <c r="BI25" i="3"/>
  <c r="BN23" i="3"/>
  <c r="BS20" i="3"/>
  <c r="DT21" i="1"/>
  <c r="DO23" i="3" s="1"/>
  <c r="BS21" i="3"/>
  <c r="BS19" i="3"/>
  <c r="EF20" i="1"/>
  <c r="CQ26" i="3"/>
  <c r="EF21" i="1" l="1"/>
  <c r="DC22" i="1"/>
  <c r="DO22" i="1" s="1"/>
  <c r="DT22" i="1"/>
  <c r="DO22" i="3"/>
  <c r="BS22" i="3"/>
  <c r="CG22" i="3"/>
  <c r="BS23" i="3"/>
  <c r="BI23" i="3"/>
  <c r="CG23" i="3"/>
  <c r="EF22" i="1" l="1"/>
  <c r="DT23" i="1"/>
  <c r="EF23" i="1" s="1"/>
  <c r="DC23" i="1"/>
  <c r="DO23" i="1" s="1"/>
  <c r="DC24" i="1"/>
  <c r="DO24" i="1" s="1"/>
  <c r="DT24" i="1"/>
  <c r="BI26" i="3" l="1"/>
  <c r="BS26" i="3"/>
  <c r="DO24" i="3"/>
  <c r="BI24" i="3"/>
  <c r="BS24" i="3"/>
  <c r="CG24" i="3"/>
  <c r="CG25" i="3"/>
  <c r="CG26" i="3"/>
  <c r="EF24" i="1"/>
  <c r="DC25" i="1"/>
  <c r="DO25" i="1" s="1"/>
  <c r="DT25" i="1"/>
  <c r="EF25" i="1" l="1"/>
  <c r="DC26" i="1"/>
  <c r="DO26" i="1" s="1"/>
  <c r="DT26" i="1"/>
  <c r="DO28" i="3" l="1"/>
  <c r="BI28" i="3"/>
  <c r="BS28" i="3"/>
  <c r="CG27" i="3"/>
  <c r="EF26" i="1"/>
  <c r="DC27" i="1"/>
  <c r="DO27" i="1" s="1"/>
  <c r="DT27" i="1"/>
  <c r="DO29" i="3" l="1"/>
  <c r="BI29" i="3"/>
  <c r="BS29" i="3"/>
  <c r="CG28" i="3"/>
  <c r="EF27" i="1"/>
  <c r="DC28" i="1"/>
  <c r="DO28" i="1" s="1"/>
  <c r="DT28" i="1"/>
  <c r="DO30" i="3" l="1"/>
  <c r="BI30" i="3"/>
  <c r="BS30" i="3"/>
  <c r="CG29" i="3"/>
  <c r="EF28" i="1"/>
  <c r="DC29" i="1"/>
  <c r="DO29" i="1" s="1"/>
  <c r="DT29" i="1"/>
  <c r="DO31" i="3" l="1"/>
  <c r="BI31" i="3"/>
  <c r="BS31" i="3"/>
  <c r="CG30" i="3"/>
  <c r="EF29" i="1"/>
  <c r="DC30" i="1"/>
  <c r="DO30" i="1" s="1"/>
  <c r="DJ33" i="1" s="1"/>
  <c r="DM33" i="1" s="1"/>
  <c r="DT30" i="1"/>
  <c r="EF30" i="1" s="1"/>
  <c r="EA33" i="1" l="1"/>
  <c r="ED33" i="1" s="1"/>
  <c r="CG31" i="3"/>
  <c r="ED18" i="3" l="1"/>
  <c r="BN33" i="3" l="1"/>
  <c r="BD33" i="3"/>
  <c r="CB33" i="3"/>
  <c r="DO33" i="3"/>
</calcChain>
</file>

<file path=xl/comments1.xml><?xml version="1.0" encoding="utf-8"?>
<comments xmlns="http://schemas.openxmlformats.org/spreadsheetml/2006/main">
  <authors>
    <author>Yazar</author>
  </authors>
  <commentList>
    <comment ref="A2" authorId="0" shapeId="0">
      <text>
        <r>
          <rPr>
            <sz val="9"/>
            <color indexed="81"/>
            <rFont val="Tahoma"/>
            <family val="2"/>
            <charset val="162"/>
          </rPr>
          <t>Tij boyu düzeltme katsayısı</t>
        </r>
      </text>
    </comment>
    <comment ref="A10" authorId="0" shapeId="0">
      <text>
        <r>
          <rPr>
            <sz val="9"/>
            <color indexed="81"/>
            <rFont val="Tahoma"/>
            <family val="2"/>
            <charset val="162"/>
          </rPr>
          <t>Sondaj delgi çapı düzeltme katsayısı</t>
        </r>
      </text>
    </comment>
    <comment ref="A14" authorId="0" shapeId="0">
      <text>
        <r>
          <rPr>
            <sz val="9"/>
            <color indexed="81"/>
            <rFont val="Tahoma"/>
            <family val="2"/>
            <charset val="162"/>
          </rPr>
          <t>Enerji oranı düzeltme katsayısı</t>
        </r>
      </text>
    </comment>
    <comment ref="A18" authorId="0" shapeId="0">
      <text>
        <r>
          <rPr>
            <sz val="9"/>
            <color indexed="81"/>
            <rFont val="Tahoma"/>
            <family val="2"/>
            <charset val="162"/>
          </rPr>
          <t>Kohezyonsuz zeminlerde uygulanan jeolojik gerilme (derinlik) katsayısı</t>
        </r>
      </text>
    </comment>
  </commentList>
</comments>
</file>

<file path=xl/sharedStrings.xml><?xml version="1.0" encoding="utf-8"?>
<sst xmlns="http://schemas.openxmlformats.org/spreadsheetml/2006/main" count="430" uniqueCount="339">
  <si>
    <t xml:space="preserve"> Derinlik (m)</t>
  </si>
  <si>
    <t>Değişken</t>
  </si>
  <si>
    <t>Değer</t>
  </si>
  <si>
    <t>Düzeltme Katsayıları</t>
  </si>
  <si>
    <t>4m ile 6m aralığında</t>
  </si>
  <si>
    <t>6m ile 10m aralığında</t>
  </si>
  <si>
    <t>10m'den derin</t>
  </si>
  <si>
    <r>
      <t>C</t>
    </r>
    <r>
      <rPr>
        <vertAlign val="subscript"/>
        <sz val="20"/>
        <color theme="1"/>
        <rFont val="Calibri"/>
        <family val="2"/>
        <charset val="162"/>
        <scheme val="minor"/>
      </rPr>
      <t>R</t>
    </r>
  </si>
  <si>
    <r>
      <t>C</t>
    </r>
    <r>
      <rPr>
        <vertAlign val="subscript"/>
        <sz val="20"/>
        <color theme="1"/>
        <rFont val="Calibri"/>
        <family val="2"/>
        <charset val="162"/>
        <scheme val="minor"/>
      </rPr>
      <t>S</t>
    </r>
  </si>
  <si>
    <r>
      <t>C</t>
    </r>
    <r>
      <rPr>
        <vertAlign val="subscript"/>
        <sz val="20"/>
        <color theme="1"/>
        <rFont val="Calibri"/>
        <family val="2"/>
        <charset val="162"/>
        <scheme val="minor"/>
      </rPr>
      <t>B</t>
    </r>
  </si>
  <si>
    <r>
      <t>C</t>
    </r>
    <r>
      <rPr>
        <vertAlign val="subscript"/>
        <sz val="20"/>
        <color theme="1"/>
        <rFont val="Calibri"/>
        <family val="2"/>
        <charset val="162"/>
        <scheme val="minor"/>
      </rPr>
      <t>E</t>
    </r>
  </si>
  <si>
    <t>Çap 65mm-115mm arasında</t>
  </si>
  <si>
    <t>Çap 150mm</t>
  </si>
  <si>
    <t>Çap 200mm</t>
  </si>
  <si>
    <t>Güvenli tokmak</t>
  </si>
  <si>
    <t>Halkalı tokmak</t>
  </si>
  <si>
    <t>Otomatik darbeli tokmak</t>
  </si>
  <si>
    <r>
      <t>C</t>
    </r>
    <r>
      <rPr>
        <vertAlign val="subscript"/>
        <sz val="20"/>
        <color theme="1"/>
        <rFont val="Calibri"/>
        <family val="2"/>
        <charset val="162"/>
        <scheme val="minor"/>
      </rPr>
      <t>N</t>
    </r>
  </si>
  <si>
    <t>3m ile 4m aralığında</t>
  </si>
  <si>
    <t>İnce Dane İçeriği     (IDI) (%)</t>
  </si>
  <si>
    <t>ZD</t>
  </si>
  <si>
    <t>XXX PROJESİ</t>
  </si>
  <si>
    <t xml:space="preserve">XXX </t>
  </si>
  <si>
    <t>Ada No:</t>
  </si>
  <si>
    <t>Parsel No:</t>
  </si>
  <si>
    <t>X</t>
  </si>
  <si>
    <t>Y</t>
  </si>
  <si>
    <t>Kot:</t>
  </si>
  <si>
    <t>Datum:</t>
  </si>
  <si>
    <t>WGS 84</t>
  </si>
  <si>
    <t>Koordinatlar:</t>
  </si>
  <si>
    <t>ZE</t>
  </si>
  <si>
    <t>DTS</t>
  </si>
  <si>
    <t>Zemin Tipi (USCS)</t>
  </si>
  <si>
    <t>SM</t>
  </si>
  <si>
    <t>SW</t>
  </si>
  <si>
    <t>SW-SM</t>
  </si>
  <si>
    <t>CL</t>
  </si>
  <si>
    <t>ML</t>
  </si>
  <si>
    <t>CH</t>
  </si>
  <si>
    <t>SP-SM</t>
  </si>
  <si>
    <t>Kil İçeriği (%)</t>
  </si>
  <si>
    <t>Kohezyon Var</t>
  </si>
  <si>
    <t>Kohezyon Yok</t>
  </si>
  <si>
    <t>PROJE ADI:</t>
  </si>
  <si>
    <t>1 -</t>
  </si>
  <si>
    <t>2 -</t>
  </si>
  <si>
    <t>3 -</t>
  </si>
  <si>
    <t>4 -</t>
  </si>
  <si>
    <t>5 -</t>
  </si>
  <si>
    <t>6 -</t>
  </si>
  <si>
    <t>7 -</t>
  </si>
  <si>
    <t>8 -</t>
  </si>
  <si>
    <t>10 -</t>
  </si>
  <si>
    <t>USCS</t>
  </si>
  <si>
    <t>G</t>
  </si>
  <si>
    <t>W</t>
  </si>
  <si>
    <t>P</t>
  </si>
  <si>
    <t>L</t>
  </si>
  <si>
    <t>H</t>
  </si>
  <si>
    <t>O</t>
  </si>
  <si>
    <t>Pt</t>
  </si>
  <si>
    <t>Çakıl</t>
  </si>
  <si>
    <t>İyi Derecelenmiş</t>
  </si>
  <si>
    <t>Kötü Derecelenmiş</t>
  </si>
  <si>
    <t>Düşük Plastisiteli</t>
  </si>
  <si>
    <t>Yüksek Plastisiteli</t>
  </si>
  <si>
    <t>Organik</t>
  </si>
  <si>
    <t>Bataklık Turba</t>
  </si>
  <si>
    <t>GW</t>
  </si>
  <si>
    <t>GP</t>
  </si>
  <si>
    <t>GM</t>
  </si>
  <si>
    <t>GC</t>
  </si>
  <si>
    <t>SP</t>
  </si>
  <si>
    <t>SC</t>
  </si>
  <si>
    <t>OL</t>
  </si>
  <si>
    <t>MH</t>
  </si>
  <si>
    <t>OH</t>
  </si>
  <si>
    <t>İyi Derecelenmiş Çakıl</t>
  </si>
  <si>
    <t>Kötü Derecelenmiş Çakıl</t>
  </si>
  <si>
    <t>Siltli Çakıl</t>
  </si>
  <si>
    <t>Killi Çakıl</t>
  </si>
  <si>
    <t>İyi Derecelenmiş Kum</t>
  </si>
  <si>
    <t>Kötü Derecelenmiş Kum</t>
  </si>
  <si>
    <t>Siltli Kum</t>
  </si>
  <si>
    <t>Killi Kum</t>
  </si>
  <si>
    <t>Düşük Plastisiteli Silt</t>
  </si>
  <si>
    <t>Düşük Plastisiteli Kil</t>
  </si>
  <si>
    <t>Organik Siltler</t>
  </si>
  <si>
    <t>Yüksek Plastisiteli Silt</t>
  </si>
  <si>
    <t>Yüksek Plastisiteli Kil</t>
  </si>
  <si>
    <t>Turba</t>
  </si>
  <si>
    <t>Ortadan Yükseğe Plastisiteli Organik Killer</t>
  </si>
  <si>
    <t>uscs</t>
  </si>
  <si>
    <t>zemin sınıfı</t>
  </si>
  <si>
    <t>SW-SC</t>
  </si>
  <si>
    <t>SP-SC</t>
  </si>
  <si>
    <t>SM-SC</t>
  </si>
  <si>
    <t>GM-GC</t>
  </si>
  <si>
    <t>GW-GC</t>
  </si>
  <si>
    <t>GW-GM</t>
  </si>
  <si>
    <t>GP-GC</t>
  </si>
  <si>
    <t>GP-GM</t>
  </si>
  <si>
    <t>SPT Verileri:</t>
  </si>
  <si>
    <t>Numune Alıcı Tipi</t>
  </si>
  <si>
    <t>Sondaj Delgi Çapı</t>
  </si>
  <si>
    <t>Tokmak Tipi</t>
  </si>
  <si>
    <t>Enerji Oranı (%)</t>
  </si>
  <si>
    <t>numune alıcı tipi</t>
  </si>
  <si>
    <t>sondaj delgi çapı</t>
  </si>
  <si>
    <t>Cn</t>
  </si>
  <si>
    <t>F(z)</t>
  </si>
  <si>
    <t>W(z)</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</si>
  <si>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</si>
  <si>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</si>
  <si>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</si>
  <si>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</si>
  <si>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</si>
  <si>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</si>
  <si>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</si>
  <si>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</si>
  <si>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</si>
  <si>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</si>
  <si>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</si>
  <si>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</si>
  <si>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</si>
  <si>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</si>
  <si>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</si>
  <si>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</si>
  <si>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</si>
  <si>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</si>
  <si>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</si>
  <si>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</si>
  <si>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</si>
  <si>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</si>
  <si>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</si>
  <si>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</si>
  <si>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</si>
  <si>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</si>
  <si>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11 -</t>
  </si>
  <si>
    <t>12 -</t>
  </si>
  <si>
    <t>13 -</t>
  </si>
  <si>
    <t>14 -</t>
  </si>
  <si>
    <t>15 -</t>
  </si>
  <si>
    <t>9 -</t>
  </si>
  <si>
    <t>ZF</t>
  </si>
  <si>
    <t xml:space="preserve">DTS: </t>
  </si>
  <si>
    <t>DTS - 1</t>
  </si>
  <si>
    <t>DTS - 1a</t>
  </si>
  <si>
    <t>DTS - 2</t>
  </si>
  <si>
    <t>DTS - 2a</t>
  </si>
  <si>
    <t>DTS - 3</t>
  </si>
  <si>
    <t>DTS - 3a</t>
  </si>
  <si>
    <t>DTS - 4</t>
  </si>
  <si>
    <t>DTS - 4a</t>
  </si>
  <si>
    <t>Sıra No</t>
  </si>
  <si>
    <t>Zemin Sınıfı :</t>
  </si>
  <si>
    <t>Deprem Hesabı Verileri :</t>
  </si>
  <si>
    <t>Sondaj Kuyu No:</t>
  </si>
  <si>
    <t>14688-2</t>
  </si>
  <si>
    <t>Gr</t>
  </si>
  <si>
    <t>saGr</t>
  </si>
  <si>
    <t>siGr</t>
  </si>
  <si>
    <t>clGr</t>
  </si>
  <si>
    <t>sasiGr</t>
  </si>
  <si>
    <t>saclGr</t>
  </si>
  <si>
    <t>Sa</t>
  </si>
  <si>
    <t>grSa</t>
  </si>
  <si>
    <t>siSa</t>
  </si>
  <si>
    <t>clSa</t>
  </si>
  <si>
    <t>grsiSa</t>
  </si>
  <si>
    <t>grclSa</t>
  </si>
  <si>
    <t>Si</t>
  </si>
  <si>
    <t>Cl</t>
  </si>
  <si>
    <t>clSi</t>
  </si>
  <si>
    <t>siCl</t>
  </si>
  <si>
    <t>grSi</t>
  </si>
  <si>
    <t>grclSi</t>
  </si>
  <si>
    <t>saSi</t>
  </si>
  <si>
    <t>saclSi</t>
  </si>
  <si>
    <t>sagrSİ</t>
  </si>
  <si>
    <t>grsaSi</t>
  </si>
  <si>
    <t>sasiCl</t>
  </si>
  <si>
    <t>saCl</t>
  </si>
  <si>
    <t>grCl</t>
  </si>
  <si>
    <t>grsiCl</t>
  </si>
  <si>
    <t>sagrCl</t>
  </si>
  <si>
    <t>grsaCl</t>
  </si>
  <si>
    <t>grsasiS</t>
  </si>
  <si>
    <t>grsaclS</t>
  </si>
  <si>
    <t>sagrsiS</t>
  </si>
  <si>
    <t>sagrclS</t>
  </si>
  <si>
    <t>Mg</t>
  </si>
  <si>
    <t>saOr</t>
  </si>
  <si>
    <t>siOr</t>
  </si>
  <si>
    <t>clOr</t>
  </si>
  <si>
    <t>orSi</t>
  </si>
  <si>
    <t>orCl</t>
  </si>
  <si>
    <t>orSa</t>
  </si>
  <si>
    <t>Bo</t>
  </si>
  <si>
    <t>Co</t>
  </si>
  <si>
    <t>boCo</t>
  </si>
  <si>
    <t>saCo</t>
  </si>
  <si>
    <t>grCo</t>
  </si>
  <si>
    <t>coBo</t>
  </si>
  <si>
    <t>sagrCo</t>
  </si>
  <si>
    <t>→</t>
  </si>
  <si>
    <r>
      <t>ED 50-3</t>
    </r>
    <r>
      <rPr>
        <sz val="11"/>
        <color theme="1"/>
        <rFont val="Symbol"/>
        <family val="1"/>
        <charset val="2"/>
      </rPr>
      <t>°</t>
    </r>
  </si>
  <si>
    <r>
      <t>ED 50-6</t>
    </r>
    <r>
      <rPr>
        <sz val="11"/>
        <color theme="1"/>
        <rFont val="Symbol"/>
        <family val="1"/>
        <charset val="2"/>
      </rPr>
      <t>°</t>
    </r>
  </si>
  <si>
    <r>
      <t>ITRF-3</t>
    </r>
    <r>
      <rPr>
        <sz val="11"/>
        <color theme="1"/>
        <rFont val="Symbol"/>
        <family val="1"/>
        <charset val="2"/>
      </rPr>
      <t>°</t>
    </r>
  </si>
  <si>
    <r>
      <t>ITRF-6</t>
    </r>
    <r>
      <rPr>
        <sz val="11"/>
        <color theme="1"/>
        <rFont val="Symbol"/>
        <family val="1"/>
        <charset val="2"/>
      </rPr>
      <t>°</t>
    </r>
  </si>
  <si>
    <r>
      <t>τ</t>
    </r>
    <r>
      <rPr>
        <b/>
        <vertAlign val="subscript"/>
        <sz val="14"/>
        <color theme="1"/>
        <rFont val="Calibri"/>
        <family val="2"/>
      </rPr>
      <t>deprem</t>
    </r>
  </si>
  <si>
    <t xml:space="preserve">TMMOB                                                        JEOLOJİ MÜHENDİSLERİ       ODASI </t>
  </si>
  <si>
    <r>
      <t>P</t>
    </r>
    <r>
      <rPr>
        <b/>
        <vertAlign val="subscript"/>
        <sz val="12"/>
        <color theme="1"/>
        <rFont val="Calibri"/>
        <family val="2"/>
        <charset val="162"/>
        <scheme val="minor"/>
      </rPr>
      <t>L</t>
    </r>
    <r>
      <rPr>
        <b/>
        <sz val="12"/>
        <color theme="1"/>
        <rFont val="Calibri"/>
        <family val="2"/>
        <scheme val="minor"/>
      </rPr>
      <t>(z)</t>
    </r>
  </si>
  <si>
    <r>
      <t>C</t>
    </r>
    <r>
      <rPr>
        <b/>
        <vertAlign val="subscript"/>
        <sz val="14"/>
        <color theme="1"/>
        <rFont val="Calibri"/>
        <family val="2"/>
        <charset val="162"/>
        <scheme val="minor"/>
      </rPr>
      <t>N</t>
    </r>
  </si>
  <si>
    <r>
      <t>C</t>
    </r>
    <r>
      <rPr>
        <b/>
        <vertAlign val="subscript"/>
        <sz val="14"/>
        <color theme="1"/>
        <rFont val="Calibri"/>
        <family val="2"/>
        <charset val="162"/>
        <scheme val="minor"/>
      </rPr>
      <t>R</t>
    </r>
  </si>
  <si>
    <r>
      <t>C</t>
    </r>
    <r>
      <rPr>
        <b/>
        <vertAlign val="subscript"/>
        <sz val="14"/>
        <color theme="1"/>
        <rFont val="Calibri"/>
        <family val="2"/>
        <charset val="162"/>
        <scheme val="minor"/>
      </rPr>
      <t>S</t>
    </r>
  </si>
  <si>
    <r>
      <t>C</t>
    </r>
    <r>
      <rPr>
        <b/>
        <vertAlign val="subscript"/>
        <sz val="14"/>
        <color theme="1"/>
        <rFont val="Calibri"/>
        <family val="2"/>
        <charset val="162"/>
        <scheme val="minor"/>
      </rPr>
      <t>B</t>
    </r>
  </si>
  <si>
    <r>
      <t>C</t>
    </r>
    <r>
      <rPr>
        <b/>
        <vertAlign val="subscript"/>
        <sz val="14"/>
        <color theme="1"/>
        <rFont val="Calibri"/>
        <family val="2"/>
        <charset val="162"/>
        <scheme val="minor"/>
      </rPr>
      <t>E</t>
    </r>
  </si>
  <si>
    <r>
      <t>r</t>
    </r>
    <r>
      <rPr>
        <b/>
        <vertAlign val="subscript"/>
        <sz val="14"/>
        <color theme="1"/>
        <rFont val="Calibri"/>
        <family val="2"/>
        <scheme val="minor"/>
      </rPr>
      <t>d</t>
    </r>
  </si>
  <si>
    <t>-26-</t>
  </si>
  <si>
    <t>-27-</t>
  </si>
  <si>
    <t xml:space="preserve"> Deprem Kayma Gerilmesi</t>
  </si>
  <si>
    <t>-28-</t>
  </si>
  <si>
    <t>-29-</t>
  </si>
  <si>
    <t>-30-</t>
  </si>
  <si>
    <t>-31-</t>
  </si>
  <si>
    <t>-32-</t>
  </si>
  <si>
    <t>NOT : Hesaplamaların sorumluluğu kullanıcıya ait olup, Sıvılaşma Analizi hesap cetveline ait telif hakları, 5846 sayılı Fikir ve Sanat Eserleri Kanunu gereğince TMMOB Jeoloji Mühendisleri Odasına ait olup, izin almaksızın içeriğinde herhangi bir değişiklik yapılamaz. Hesap cetveli JMO logolu kullanılmak kaydıyla  ücretsiz olarak herkesin kullanımına açıktır. Ancak Oda logosunun hesap cetvelinden çıkarılarak kullanılmasının tespit edilmesi durumunda 5846 sayılı kanun gereğince ilgili kişi hakkında gerekli hukuki yollara başvurulur.</t>
  </si>
  <si>
    <t>Standart (iç tüpü olan)</t>
  </si>
  <si>
    <t>İç tüpü olmayan</t>
  </si>
  <si>
    <r>
      <t>τ</t>
    </r>
    <r>
      <rPr>
        <b/>
        <vertAlign val="subscript"/>
        <sz val="14"/>
        <color theme="1"/>
        <rFont val="Calibri"/>
        <family val="2"/>
        <charset val="162"/>
      </rPr>
      <t>R</t>
    </r>
  </si>
  <si>
    <t>Yeraltı Su Seviyesi :</t>
  </si>
  <si>
    <t>SPT - N</t>
  </si>
  <si>
    <t>Zemin Tipi                                                       (TS-EN ISO 14688-2)</t>
  </si>
  <si>
    <t>Plastisite İndisi (PI)</t>
  </si>
  <si>
    <r>
      <t>CRR</t>
    </r>
    <r>
      <rPr>
        <b/>
        <vertAlign val="subscript"/>
        <sz val="14"/>
        <color theme="1"/>
        <rFont val="Calibri"/>
        <family val="2"/>
        <scheme val="minor"/>
      </rPr>
      <t>M=7,5</t>
    </r>
  </si>
  <si>
    <r>
      <rPr>
        <b/>
        <i/>
        <sz val="14"/>
        <color theme="1"/>
        <rFont val="Calibri"/>
        <family val="2"/>
        <charset val="162"/>
        <scheme val="minor"/>
      </rPr>
      <t>C</t>
    </r>
    <r>
      <rPr>
        <b/>
        <vertAlign val="subscript"/>
        <sz val="14"/>
        <color theme="1"/>
        <rFont val="Calibri"/>
        <family val="2"/>
        <scheme val="minor"/>
      </rPr>
      <t>M</t>
    </r>
  </si>
  <si>
    <t>CN</t>
  </si>
  <si>
    <t>Cr</t>
  </si>
  <si>
    <t>TÜRKİYE BİNA DEPREM YÖNETMELİĞİ İLE UYUMLU                                                                                    BASİTLEŞTİRİLMİŞ ZEMİN SIVILAŞMA POTANSİYELİ ANALİZİ</t>
  </si>
  <si>
    <t>Oturma ve Yanal Yayılma Hesabı</t>
  </si>
  <si>
    <r>
      <t xml:space="preserve">Yanal Yer Değiştirme                                    </t>
    </r>
    <r>
      <rPr>
        <b/>
        <sz val="14"/>
        <color theme="1"/>
        <rFont val="Calibri"/>
        <family val="2"/>
        <charset val="162"/>
        <scheme val="minor"/>
      </rPr>
      <t>ΔLDl</t>
    </r>
    <r>
      <rPr>
        <b/>
        <vertAlign val="subscript"/>
        <sz val="14"/>
        <color theme="1"/>
        <rFont val="Calibri"/>
        <family val="2"/>
        <charset val="162"/>
        <scheme val="minor"/>
      </rPr>
      <t xml:space="preserve">i </t>
    </r>
    <r>
      <rPr>
        <b/>
        <sz val="12"/>
        <color theme="1"/>
        <rFont val="Calibri"/>
        <family val="2"/>
        <scheme val="minor"/>
      </rPr>
      <t>(m)</t>
    </r>
  </si>
  <si>
    <r>
      <t xml:space="preserve">Dinamik Oturma                                      </t>
    </r>
    <r>
      <rPr>
        <b/>
        <sz val="12"/>
        <color theme="1"/>
        <rFont val="Arial Tur"/>
        <charset val="162"/>
      </rPr>
      <t>ΔS</t>
    </r>
    <r>
      <rPr>
        <b/>
        <vertAlign val="subscript"/>
        <sz val="12"/>
        <color theme="1"/>
        <rFont val="Arial Tur"/>
        <charset val="162"/>
      </rPr>
      <t>i</t>
    </r>
    <r>
      <rPr>
        <b/>
        <sz val="12"/>
        <color theme="1"/>
        <rFont val="Calibri"/>
        <family val="2"/>
        <scheme val="minor"/>
      </rPr>
      <t xml:space="preserve"> (m)    </t>
    </r>
  </si>
  <si>
    <r>
      <t xml:space="preserve">Weber vd.  </t>
    </r>
    <r>
      <rPr>
        <b/>
        <sz val="12"/>
        <color theme="1"/>
        <rFont val="Calibri"/>
        <family val="2"/>
        <charset val="162"/>
        <scheme val="minor"/>
      </rPr>
      <t>[2015]</t>
    </r>
  </si>
  <si>
    <r>
      <t xml:space="preserve">Tokimatsu ve Seed                                        </t>
    </r>
    <r>
      <rPr>
        <b/>
        <sz val="12"/>
        <color theme="1"/>
        <rFont val="Calibri"/>
        <family val="2"/>
        <charset val="162"/>
        <scheme val="minor"/>
      </rPr>
      <t>[1987]</t>
    </r>
  </si>
  <si>
    <r>
      <t>σ'</t>
    </r>
    <r>
      <rPr>
        <b/>
        <vertAlign val="subscript"/>
        <sz val="14"/>
        <color theme="1"/>
        <rFont val="Calibri"/>
        <family val="2"/>
        <charset val="162"/>
        <scheme val="minor"/>
      </rPr>
      <t xml:space="preserve">vo     </t>
    </r>
  </si>
  <si>
    <r>
      <t xml:space="preserve">Kramer ve Wang         </t>
    </r>
    <r>
      <rPr>
        <b/>
        <sz val="12"/>
        <color theme="1"/>
        <rFont val="Calibri"/>
        <family val="2"/>
        <charset val="162"/>
        <scheme val="minor"/>
      </rPr>
      <t>[2015]</t>
    </r>
  </si>
  <si>
    <t>Kapak Tabakası Etkisi</t>
  </si>
  <si>
    <t>amax = 0,2g için</t>
  </si>
  <si>
    <r>
      <t xml:space="preserve">Ishihara ve Yoshimine                                                              </t>
    </r>
    <r>
      <rPr>
        <b/>
        <sz val="12"/>
        <color theme="1"/>
        <rFont val="Calibri"/>
        <family val="2"/>
        <charset val="162"/>
        <scheme val="minor"/>
      </rPr>
      <t xml:space="preserve"> [1992]</t>
    </r>
  </si>
  <si>
    <t>Numune Derinliği         m</t>
  </si>
  <si>
    <r>
      <t>Doğal su içeriği, w</t>
    </r>
    <r>
      <rPr>
        <b/>
        <vertAlign val="subscript"/>
        <sz val="10"/>
        <color indexed="8"/>
        <rFont val="Calibri"/>
        <family val="2"/>
        <charset val="162"/>
        <scheme val="minor"/>
      </rPr>
      <t>n</t>
    </r>
  </si>
  <si>
    <t>Likit Limit, 
LL</t>
  </si>
  <si>
    <t>Plastisite İndisi,
 PI</t>
  </si>
  <si>
    <r>
      <t>w</t>
    </r>
    <r>
      <rPr>
        <b/>
        <vertAlign val="subscript"/>
        <sz val="10"/>
        <color indexed="8"/>
        <rFont val="Calibri"/>
        <family val="2"/>
        <charset val="162"/>
        <scheme val="minor"/>
      </rPr>
      <t>n</t>
    </r>
    <r>
      <rPr>
        <b/>
        <sz val="10"/>
        <color indexed="8"/>
        <rFont val="Calibri"/>
        <family val="2"/>
        <charset val="162"/>
        <scheme val="minor"/>
      </rPr>
      <t xml:space="preserve"> / LL</t>
    </r>
  </si>
  <si>
    <t>PI</t>
  </si>
  <si>
    <t>wn/LL</t>
  </si>
  <si>
    <t>İnce taneli zeminlerin sıvılaşmaya karşı duyarlılığının değerlendirilmesi</t>
  </si>
  <si>
    <t>Bray and Sancio (2006)</t>
  </si>
  <si>
    <t>(Robertson and Cabal, 2015)</t>
  </si>
  <si>
    <t>Sarı kutucuklara veri girişi yapınız.</t>
  </si>
  <si>
    <t>Plastisite İndisi (Ip)</t>
  </si>
  <si>
    <t>Likit Limit (LL)</t>
  </si>
  <si>
    <r>
      <t xml:space="preserve">Sıvılaşan Zemin  Tabakası Kalınlığı                                        </t>
    </r>
    <r>
      <rPr>
        <b/>
        <sz val="14"/>
        <color theme="1"/>
        <rFont val="Calibri"/>
        <family val="2"/>
        <charset val="162"/>
      </rPr>
      <t>ΔH</t>
    </r>
    <r>
      <rPr>
        <b/>
        <vertAlign val="subscript"/>
        <sz val="14"/>
        <color theme="1"/>
        <rFont val="Arial"/>
        <family val="2"/>
        <charset val="162"/>
      </rPr>
      <t>i</t>
    </r>
    <r>
      <rPr>
        <b/>
        <sz val="12"/>
        <color theme="1"/>
        <rFont val="Arial"/>
        <family val="2"/>
        <charset val="162"/>
      </rPr>
      <t xml:space="preserve"> </t>
    </r>
    <r>
      <rPr>
        <b/>
        <sz val="12"/>
        <color theme="1"/>
        <rFont val="Calibri"/>
        <family val="2"/>
        <charset val="162"/>
      </rPr>
      <t>(m)</t>
    </r>
  </si>
  <si>
    <r>
      <t xml:space="preserve">Hacimsel Birim Deformasyon                                     </t>
    </r>
    <r>
      <rPr>
        <b/>
        <sz val="14"/>
        <color theme="1"/>
        <rFont val="Calibri"/>
        <family val="2"/>
        <charset val="162"/>
      </rPr>
      <t>Ɛ</t>
    </r>
    <r>
      <rPr>
        <b/>
        <vertAlign val="subscript"/>
        <sz val="14"/>
        <color theme="1"/>
        <rFont val="Calibri"/>
        <family val="2"/>
        <charset val="162"/>
      </rPr>
      <t>ν</t>
    </r>
    <r>
      <rPr>
        <b/>
        <sz val="12"/>
        <color theme="1"/>
        <rFont val="Calibri"/>
        <family val="2"/>
        <scheme val="minor"/>
      </rPr>
      <t xml:space="preserve">   (%) </t>
    </r>
  </si>
  <si>
    <t>Sıvılaşma hasarı var.</t>
  </si>
  <si>
    <t>Sıvılaşma hasarı oluşabilir.</t>
  </si>
  <si>
    <t>Sıvılaşma hasarı yok.</t>
  </si>
  <si>
    <r>
      <t xml:space="preserve">Idriss ve Boulanger                        </t>
    </r>
    <r>
      <rPr>
        <b/>
        <sz val="12"/>
        <color theme="1"/>
        <rFont val="Calibri"/>
        <family val="2"/>
        <charset val="162"/>
        <scheme val="minor"/>
      </rPr>
      <t>[2008]</t>
    </r>
  </si>
  <si>
    <r>
      <t>tan</t>
    </r>
    <r>
      <rPr>
        <sz val="11"/>
        <color theme="1"/>
        <rFont val="Symbol"/>
        <family val="1"/>
        <charset val="2"/>
      </rPr>
      <t>f</t>
    </r>
  </si>
  <si>
    <t>Sıvılaşma Potansiyeli Analizi Sayfasından Alınan Veriler</t>
  </si>
  <si>
    <t>Görülür</t>
  </si>
  <si>
    <t>Görülmez</t>
  </si>
  <si>
    <r>
      <t>a</t>
    </r>
    <r>
      <rPr>
        <b/>
        <vertAlign val="subscript"/>
        <sz val="14"/>
        <color theme="1"/>
        <rFont val="Calibri"/>
        <family val="2"/>
        <charset val="162"/>
        <scheme val="minor"/>
      </rPr>
      <t>maks</t>
    </r>
  </si>
  <si>
    <t xml:space="preserve">Sıvılaşma Potansiyeli </t>
  </si>
  <si>
    <t>Arazi ve Laboratuvar Deneylerinden Alınan Veriler</t>
  </si>
  <si>
    <r>
      <t xml:space="preserve">Ham SPT Verilerinin Düzeltilmesi                                                                              </t>
    </r>
    <r>
      <rPr>
        <sz val="14"/>
        <color theme="1"/>
        <rFont val="Calibri"/>
        <family val="2"/>
        <charset val="162"/>
        <scheme val="minor"/>
      </rPr>
      <t>[TBDY-2018 Madde 16B.2]</t>
    </r>
  </si>
  <si>
    <r>
      <t xml:space="preserve">Sönmez ve Gökçeoğlu      </t>
    </r>
    <r>
      <rPr>
        <sz val="14"/>
        <color theme="1"/>
        <rFont val="Calibri"/>
        <family val="2"/>
        <charset val="162"/>
        <scheme val="minor"/>
      </rPr>
      <t>[2005]</t>
    </r>
  </si>
  <si>
    <r>
      <t xml:space="preserve">Limit Kesme Birim Deformasyonu, </t>
    </r>
    <r>
      <rPr>
        <b/>
        <sz val="14"/>
        <color theme="1"/>
        <rFont val="Symbol"/>
        <family val="1"/>
        <charset val="2"/>
      </rPr>
      <t>g</t>
    </r>
    <r>
      <rPr>
        <b/>
        <vertAlign val="subscript"/>
        <sz val="14"/>
        <color theme="1"/>
        <rFont val="Calibri"/>
        <family val="2"/>
        <charset val="162"/>
      </rPr>
      <t>lim</t>
    </r>
    <r>
      <rPr>
        <b/>
        <sz val="14"/>
        <color theme="1"/>
        <rFont val="Calibri"/>
        <family val="2"/>
        <scheme val="minor"/>
      </rPr>
      <t xml:space="preserve">  </t>
    </r>
  </si>
  <si>
    <r>
      <t xml:space="preserve">Maks. Kesme Birim Deformasyonu, </t>
    </r>
    <r>
      <rPr>
        <b/>
        <sz val="14"/>
        <color theme="1"/>
        <rFont val="Symbol"/>
        <family val="1"/>
        <charset val="2"/>
      </rPr>
      <t>g</t>
    </r>
    <r>
      <rPr>
        <b/>
        <vertAlign val="subscript"/>
        <sz val="14"/>
        <color theme="1"/>
        <rFont val="Calibri"/>
        <family val="2"/>
        <charset val="162"/>
      </rPr>
      <t>max</t>
    </r>
    <r>
      <rPr>
        <b/>
        <sz val="14"/>
        <color theme="1"/>
        <rFont val="Calibri"/>
        <family val="2"/>
        <scheme val="minor"/>
      </rPr>
      <t xml:space="preserve">  </t>
    </r>
  </si>
  <si>
    <r>
      <t xml:space="preserve">Parametre                                              </t>
    </r>
    <r>
      <rPr>
        <b/>
        <i/>
        <sz val="14"/>
        <color theme="1"/>
        <rFont val="Calibri"/>
        <family val="2"/>
        <charset val="162"/>
        <scheme val="minor"/>
      </rPr>
      <t>F</t>
    </r>
    <r>
      <rPr>
        <b/>
        <vertAlign val="subscript"/>
        <sz val="14"/>
        <color theme="1"/>
        <rFont val="Arial Tur"/>
        <charset val="162"/>
      </rPr>
      <t>α</t>
    </r>
  </si>
  <si>
    <t>Sıvılaşma Sonrası Kayma Dayanımı Kaybı</t>
  </si>
  <si>
    <r>
      <t xml:space="preserve">e                  </t>
    </r>
    <r>
      <rPr>
        <b/>
        <sz val="12"/>
        <color theme="1"/>
        <rFont val="Symbol"/>
        <family val="1"/>
        <charset val="2"/>
      </rPr>
      <t>(%)</t>
    </r>
  </si>
  <si>
    <t>SIVILAŞMA SONRASI OTURMA, YANAL YAYILMA VE KAYMA DAYANIMI KAYBI HESAPLARI</t>
  </si>
  <si>
    <r>
      <rPr>
        <b/>
        <sz val="14"/>
        <color theme="1"/>
        <rFont val="Calibri"/>
        <family val="2"/>
        <scheme val="minor"/>
      </rPr>
      <t>τ</t>
    </r>
    <r>
      <rPr>
        <b/>
        <vertAlign val="subscript"/>
        <sz val="14"/>
        <color theme="1"/>
        <rFont val="Calibri"/>
        <family val="2"/>
        <scheme val="minor"/>
      </rPr>
      <t xml:space="preserve">R </t>
    </r>
    <r>
      <rPr>
        <b/>
        <sz val="14"/>
        <color theme="1"/>
        <rFont val="Calibri"/>
        <family val="2"/>
        <scheme val="minor"/>
      </rPr>
      <t>/τ</t>
    </r>
    <r>
      <rPr>
        <b/>
        <vertAlign val="subscript"/>
        <sz val="14"/>
        <color theme="1"/>
        <rFont val="Calibri"/>
        <family val="2"/>
        <scheme val="minor"/>
      </rPr>
      <t>deprem</t>
    </r>
    <r>
      <rPr>
        <b/>
        <sz val="14"/>
        <color theme="1"/>
        <rFont val="Calibri"/>
        <family val="2"/>
        <scheme val="minor"/>
      </rPr>
      <t xml:space="preserve"> </t>
    </r>
    <r>
      <rPr>
        <b/>
        <sz val="14"/>
        <color theme="1"/>
        <rFont val="Arial Tur"/>
        <charset val="162"/>
      </rPr>
      <t>≥</t>
    </r>
    <r>
      <rPr>
        <b/>
        <sz val="14"/>
        <color theme="1"/>
        <rFont val="Calibri"/>
        <family val="2"/>
      </rPr>
      <t xml:space="preserve"> </t>
    </r>
    <r>
      <rPr>
        <b/>
        <sz val="14"/>
        <color theme="1"/>
        <rFont val="Calibri"/>
        <family val="2"/>
        <charset val="162"/>
      </rPr>
      <t>1.10</t>
    </r>
  </si>
  <si>
    <r>
      <rPr>
        <b/>
        <sz val="12"/>
        <rFont val="Symbol"/>
        <family val="1"/>
        <charset val="2"/>
      </rPr>
      <t>g</t>
    </r>
    <r>
      <rPr>
        <b/>
        <vertAlign val="subscript"/>
        <sz val="12"/>
        <rFont val="Calibri"/>
        <family val="2"/>
        <scheme val="minor"/>
      </rPr>
      <t xml:space="preserve">d  </t>
    </r>
    <r>
      <rPr>
        <b/>
        <sz val="12"/>
        <rFont val="Calibri"/>
        <family val="2"/>
        <scheme val="minor"/>
      </rPr>
      <t>(kN/m</t>
    </r>
    <r>
      <rPr>
        <b/>
        <vertAlign val="superscript"/>
        <sz val="12"/>
        <rFont val="Calibri"/>
        <family val="2"/>
        <scheme val="minor"/>
      </rPr>
      <t>3</t>
    </r>
    <r>
      <rPr>
        <b/>
        <sz val="12"/>
        <rFont val="Calibri"/>
        <family val="2"/>
        <scheme val="minor"/>
      </rPr>
      <t>)</t>
    </r>
  </si>
  <si>
    <r>
      <rPr>
        <b/>
        <sz val="12"/>
        <rFont val="Symbol"/>
        <family val="1"/>
        <charset val="2"/>
      </rPr>
      <t>g</t>
    </r>
    <r>
      <rPr>
        <b/>
        <vertAlign val="subscript"/>
        <sz val="12"/>
        <rFont val="Calibri"/>
        <family val="2"/>
        <scheme val="minor"/>
      </rPr>
      <t xml:space="preserve">n  </t>
    </r>
    <r>
      <rPr>
        <b/>
        <sz val="12"/>
        <rFont val="Calibri"/>
        <family val="2"/>
        <scheme val="minor"/>
      </rPr>
      <t>(kN/m</t>
    </r>
    <r>
      <rPr>
        <b/>
        <vertAlign val="superscript"/>
        <sz val="12"/>
        <rFont val="Calibri"/>
        <family val="2"/>
        <scheme val="minor"/>
      </rPr>
      <t>3</t>
    </r>
    <r>
      <rPr>
        <b/>
        <sz val="12"/>
        <rFont val="Calibri"/>
        <family val="2"/>
        <scheme val="minor"/>
      </rPr>
      <t>)</t>
    </r>
  </si>
  <si>
    <t>Sıvılaşma Direncinin Hesabı</t>
  </si>
  <si>
    <r>
      <t>Düzeltilmiş SPT-N                       ( N</t>
    </r>
    <r>
      <rPr>
        <b/>
        <vertAlign val="subscript"/>
        <sz val="12"/>
        <color theme="1"/>
        <rFont val="Calibri"/>
        <family val="2"/>
        <scheme val="minor"/>
      </rPr>
      <t>1,60</t>
    </r>
    <r>
      <rPr>
        <b/>
        <sz val="12"/>
        <color theme="1"/>
        <rFont val="Calibri"/>
        <family val="2"/>
        <scheme val="minor"/>
      </rPr>
      <t xml:space="preserve"> )</t>
    </r>
  </si>
  <si>
    <r>
      <t>I</t>
    </r>
    <r>
      <rPr>
        <vertAlign val="subscript"/>
        <sz val="10"/>
        <rFont val="Helv"/>
        <charset val="162"/>
      </rPr>
      <t>P</t>
    </r>
    <r>
      <rPr>
        <sz val="11"/>
        <color theme="1"/>
        <rFont val="Calibri"/>
        <family val="2"/>
        <scheme val="minor"/>
      </rPr>
      <t>&gt;20</t>
    </r>
  </si>
  <si>
    <r>
      <t>12&lt;I</t>
    </r>
    <r>
      <rPr>
        <vertAlign val="subscript"/>
        <sz val="10"/>
        <rFont val="Helv"/>
        <charset val="162"/>
      </rPr>
      <t>P</t>
    </r>
    <r>
      <rPr>
        <sz val="10"/>
        <rFont val="Arial"/>
        <family val="2"/>
        <charset val="162"/>
      </rPr>
      <t>≤</t>
    </r>
    <r>
      <rPr>
        <sz val="11"/>
        <color theme="1"/>
        <rFont val="Calibri"/>
        <family val="2"/>
        <scheme val="minor"/>
      </rPr>
      <t>20       w</t>
    </r>
    <r>
      <rPr>
        <vertAlign val="subscript"/>
        <sz val="10"/>
        <rFont val="Helv"/>
        <charset val="162"/>
      </rPr>
      <t>n</t>
    </r>
    <r>
      <rPr>
        <sz val="11"/>
        <color theme="1"/>
        <rFont val="Calibri"/>
        <family val="2"/>
        <scheme val="minor"/>
      </rPr>
      <t xml:space="preserve">/LL </t>
    </r>
    <r>
      <rPr>
        <sz val="10"/>
        <rFont val="Arial Tur"/>
        <charset val="162"/>
      </rPr>
      <t xml:space="preserve">≥ </t>
    </r>
    <r>
      <rPr>
        <sz val="11"/>
        <color theme="1"/>
        <rFont val="Calibri"/>
        <family val="2"/>
        <scheme val="minor"/>
      </rPr>
      <t>0.80</t>
    </r>
  </si>
  <si>
    <r>
      <t>I</t>
    </r>
    <r>
      <rPr>
        <vertAlign val="subscript"/>
        <sz val="10"/>
        <rFont val="Helv"/>
        <charset val="162"/>
      </rPr>
      <t>P</t>
    </r>
    <r>
      <rPr>
        <sz val="11"/>
        <color theme="1"/>
        <rFont val="Calibri"/>
        <family val="2"/>
        <scheme val="minor"/>
      </rPr>
      <t>&lt;12          w</t>
    </r>
    <r>
      <rPr>
        <vertAlign val="subscript"/>
        <sz val="10"/>
        <rFont val="Helv"/>
        <charset val="162"/>
      </rPr>
      <t>n</t>
    </r>
    <r>
      <rPr>
        <sz val="11"/>
        <color theme="1"/>
        <rFont val="Calibri"/>
        <family val="2"/>
        <scheme val="minor"/>
      </rPr>
      <t>/L</t>
    </r>
    <r>
      <rPr>
        <sz val="10"/>
        <rFont val="Helv"/>
        <charset val="162"/>
      </rPr>
      <t xml:space="preserve">L </t>
    </r>
    <r>
      <rPr>
        <sz val="10"/>
        <rFont val="Arial Tur"/>
        <charset val="162"/>
      </rPr>
      <t xml:space="preserve">≥ </t>
    </r>
    <r>
      <rPr>
        <sz val="11"/>
        <color theme="1"/>
        <rFont val="Calibri"/>
        <family val="2"/>
        <scheme val="minor"/>
      </rPr>
      <t>0.80</t>
    </r>
  </si>
  <si>
    <t>Kullanılan Numunelerin Plastisite Kartındaki Yeri, Seed et al. (2003)</t>
  </si>
  <si>
    <r>
      <rPr>
        <b/>
        <sz val="12"/>
        <color theme="1"/>
        <rFont val="Calibri"/>
        <family val="2"/>
        <charset val="162"/>
        <scheme val="minor"/>
      </rPr>
      <t>(kN/m</t>
    </r>
    <r>
      <rPr>
        <b/>
        <vertAlign val="superscript"/>
        <sz val="12"/>
        <color theme="1"/>
        <rFont val="Calibri"/>
        <family val="2"/>
        <charset val="162"/>
        <scheme val="minor"/>
      </rPr>
      <t>2</t>
    </r>
    <r>
      <rPr>
        <b/>
        <sz val="12"/>
        <color theme="1"/>
        <rFont val="Calibri"/>
        <family val="2"/>
        <charset val="162"/>
        <scheme val="minor"/>
      </rPr>
      <t>)</t>
    </r>
  </si>
  <si>
    <r>
      <t>M</t>
    </r>
    <r>
      <rPr>
        <b/>
        <vertAlign val="subscript"/>
        <sz val="14"/>
        <color theme="1"/>
        <rFont val="Calibri"/>
        <family val="2"/>
        <charset val="162"/>
        <scheme val="minor"/>
      </rPr>
      <t>w</t>
    </r>
    <r>
      <rPr>
        <b/>
        <sz val="14"/>
        <color theme="1"/>
        <rFont val="Calibri"/>
        <family val="2"/>
        <charset val="162"/>
        <scheme val="minor"/>
      </rPr>
      <t xml:space="preserve"> :</t>
    </r>
  </si>
  <si>
    <t>Zemin Sınıfı:</t>
  </si>
  <si>
    <r>
      <t>S</t>
    </r>
    <r>
      <rPr>
        <b/>
        <vertAlign val="subscript"/>
        <sz val="14"/>
        <color theme="1"/>
        <rFont val="Calibri"/>
        <family val="2"/>
        <charset val="162"/>
        <scheme val="minor"/>
      </rPr>
      <t>DS</t>
    </r>
    <r>
      <rPr>
        <b/>
        <sz val="14"/>
        <color theme="1"/>
        <rFont val="Calibri"/>
        <family val="2"/>
        <charset val="162"/>
        <scheme val="minor"/>
      </rPr>
      <t xml:space="preserve"> : </t>
    </r>
  </si>
  <si>
    <t>A</t>
  </si>
  <si>
    <t>Sıvılaşma hasarı var</t>
  </si>
  <si>
    <t>B</t>
  </si>
  <si>
    <t>Sıvılaşma hasarı oluşabilir</t>
  </si>
  <si>
    <t>C</t>
  </si>
  <si>
    <t>Sıvılaşma hasarı yok</t>
  </si>
  <si>
    <t>Sıvılaşmaya Karşı Güvenlik Koşulu</t>
  </si>
  <si>
    <r>
      <t>İnce dane içeriğine göre düzeltilmiş SPT-N değeri,  ( N</t>
    </r>
    <r>
      <rPr>
        <b/>
        <vertAlign val="subscript"/>
        <sz val="12"/>
        <color theme="1"/>
        <rFont val="Calibri"/>
        <family val="2"/>
        <scheme val="minor"/>
      </rPr>
      <t>1,60f</t>
    </r>
    <r>
      <rPr>
        <b/>
        <sz val="12"/>
        <color theme="1"/>
        <rFont val="Calibri"/>
        <family val="2"/>
        <scheme val="minor"/>
      </rPr>
      <t xml:space="preserve"> )</t>
    </r>
  </si>
  <si>
    <r>
      <t>σ</t>
    </r>
    <r>
      <rPr>
        <b/>
        <vertAlign val="subscript"/>
        <sz val="14"/>
        <color theme="1"/>
        <rFont val="Calibri"/>
        <family val="2"/>
        <charset val="162"/>
        <scheme val="minor"/>
      </rPr>
      <t xml:space="preserve">vo </t>
    </r>
    <r>
      <rPr>
        <b/>
        <sz val="12"/>
        <color theme="1"/>
        <rFont val="Calibri"/>
        <family val="2"/>
        <charset val="162"/>
        <scheme val="minor"/>
      </rPr>
      <t>(kN/m</t>
    </r>
    <r>
      <rPr>
        <b/>
        <vertAlign val="superscript"/>
        <sz val="12"/>
        <color theme="1"/>
        <rFont val="Calibri"/>
        <family val="2"/>
        <charset val="162"/>
        <scheme val="minor"/>
      </rPr>
      <t>2</t>
    </r>
    <r>
      <rPr>
        <b/>
        <vertAlign val="subscript"/>
        <sz val="12"/>
        <color theme="1"/>
        <rFont val="Calibri"/>
        <family val="2"/>
        <charset val="162"/>
        <scheme val="minor"/>
      </rPr>
      <t>)</t>
    </r>
  </si>
  <si>
    <r>
      <t>σ'</t>
    </r>
    <r>
      <rPr>
        <b/>
        <vertAlign val="subscript"/>
        <sz val="14"/>
        <color theme="1"/>
        <rFont val="Calibri"/>
        <family val="2"/>
        <charset val="162"/>
        <scheme val="minor"/>
      </rPr>
      <t xml:space="preserve">vo </t>
    </r>
    <r>
      <rPr>
        <b/>
        <sz val="12"/>
        <color theme="1"/>
        <rFont val="Calibri"/>
        <family val="2"/>
        <charset val="162"/>
        <scheme val="minor"/>
      </rPr>
      <t>(kN/m</t>
    </r>
    <r>
      <rPr>
        <b/>
        <vertAlign val="superscript"/>
        <sz val="12"/>
        <color theme="1"/>
        <rFont val="Calibri"/>
        <family val="2"/>
        <charset val="162"/>
        <scheme val="minor"/>
      </rPr>
      <t>2</t>
    </r>
    <r>
      <rPr>
        <b/>
        <sz val="12"/>
        <color theme="1"/>
        <rFont val="Calibri"/>
        <family val="2"/>
        <charset val="162"/>
        <scheme val="minor"/>
      </rPr>
      <t>)</t>
    </r>
  </si>
  <si>
    <t>Yüzeysel Hasar Durumu</t>
  </si>
  <si>
    <r>
      <rPr>
        <b/>
        <sz val="12"/>
        <color theme="1"/>
        <rFont val="Calibri"/>
        <family val="2"/>
        <charset val="162"/>
        <scheme val="minor"/>
      </rPr>
      <t xml:space="preserve">TBDY-2018                             Sıvılaşmaya Karşı                                 Güvenlik Koşulu </t>
    </r>
    <r>
      <rPr>
        <b/>
        <sz val="14"/>
        <color theme="1"/>
        <rFont val="Calibri"/>
        <family val="2"/>
        <charset val="162"/>
        <scheme val="minor"/>
      </rPr>
      <t xml:space="preserve">      </t>
    </r>
    <r>
      <rPr>
        <b/>
        <sz val="14"/>
        <color theme="1"/>
        <rFont val="Calibri"/>
        <family val="2"/>
        <scheme val="minor"/>
      </rPr>
      <t xml:space="preserve">                                     τ</t>
    </r>
    <r>
      <rPr>
        <b/>
        <vertAlign val="subscript"/>
        <sz val="14"/>
        <color theme="1"/>
        <rFont val="Calibri"/>
        <family val="2"/>
        <scheme val="minor"/>
      </rPr>
      <t xml:space="preserve">R </t>
    </r>
    <r>
      <rPr>
        <b/>
        <sz val="14"/>
        <color theme="1"/>
        <rFont val="Calibri"/>
        <family val="2"/>
        <scheme val="minor"/>
      </rPr>
      <t>/τ</t>
    </r>
    <r>
      <rPr>
        <b/>
        <vertAlign val="subscript"/>
        <sz val="14"/>
        <color theme="1"/>
        <rFont val="Calibri"/>
        <family val="2"/>
        <scheme val="minor"/>
      </rPr>
      <t>deprem</t>
    </r>
    <r>
      <rPr>
        <b/>
        <sz val="14"/>
        <color theme="1"/>
        <rFont val="Calibri"/>
        <family val="2"/>
        <scheme val="minor"/>
      </rPr>
      <t xml:space="preserve"> </t>
    </r>
    <r>
      <rPr>
        <b/>
        <sz val="14"/>
        <color theme="1"/>
        <rFont val="Arial Tur"/>
        <charset val="162"/>
      </rPr>
      <t>≥</t>
    </r>
    <r>
      <rPr>
        <b/>
        <sz val="14"/>
        <color theme="1"/>
        <rFont val="Calibri"/>
        <family val="2"/>
      </rPr>
      <t xml:space="preserve"> </t>
    </r>
    <r>
      <rPr>
        <b/>
        <sz val="14"/>
        <color theme="1"/>
        <rFont val="Calibri"/>
        <family val="2"/>
        <charset val="162"/>
      </rPr>
      <t>1.10</t>
    </r>
  </si>
  <si>
    <t>Sıvılaşmaya kısmen hassas olup deneysel çalışma gerekli</t>
  </si>
  <si>
    <t>Sıvılaşma etkisinin yüzeyde görünebilirliği</t>
  </si>
  <si>
    <r>
      <t xml:space="preserve">Ishihara                             </t>
    </r>
    <r>
      <rPr>
        <b/>
        <sz val="12"/>
        <color theme="1"/>
        <rFont val="Calibri"/>
        <family val="2"/>
        <charset val="162"/>
        <scheme val="minor"/>
      </rPr>
      <t>[1985]</t>
    </r>
  </si>
  <si>
    <r>
      <t>CSR</t>
    </r>
    <r>
      <rPr>
        <b/>
        <vertAlign val="subscript"/>
        <sz val="12"/>
        <color theme="1"/>
        <rFont val="Calibri"/>
        <family val="2"/>
        <charset val="162"/>
        <scheme val="minor"/>
      </rPr>
      <t>M,7,5</t>
    </r>
    <r>
      <rPr>
        <b/>
        <sz val="12"/>
        <color theme="1"/>
        <rFont val="Calibri"/>
        <family val="2"/>
        <scheme val="minor"/>
      </rPr>
      <t xml:space="preserve"> </t>
    </r>
    <r>
      <rPr>
        <b/>
        <sz val="12"/>
        <color theme="1"/>
        <rFont val="Symbol"/>
        <family val="1"/>
        <charset val="2"/>
      </rPr>
      <t/>
    </r>
  </si>
  <si>
    <r>
      <t>ΔN</t>
    </r>
    <r>
      <rPr>
        <b/>
        <vertAlign val="subscript"/>
        <sz val="12"/>
        <color theme="1"/>
        <rFont val="Calibri"/>
        <family val="2"/>
        <charset val="162"/>
        <scheme val="minor"/>
      </rPr>
      <t>1,60</t>
    </r>
  </si>
  <si>
    <r>
      <t>Durum-1                                  c</t>
    </r>
    <r>
      <rPr>
        <b/>
        <vertAlign val="subscript"/>
        <sz val="12"/>
        <color theme="1"/>
        <rFont val="Calibri"/>
        <family val="2"/>
        <charset val="162"/>
        <scheme val="minor"/>
      </rPr>
      <t xml:space="preserve">u,r </t>
    </r>
    <r>
      <rPr>
        <b/>
        <sz val="12"/>
        <color theme="1"/>
        <rFont val="Calibri"/>
        <family val="2"/>
        <charset val="162"/>
        <scheme val="minor"/>
      </rPr>
      <t>/ σ'</t>
    </r>
    <r>
      <rPr>
        <b/>
        <vertAlign val="subscript"/>
        <sz val="12"/>
        <color theme="1"/>
        <rFont val="Calibri"/>
        <family val="2"/>
        <charset val="162"/>
        <scheme val="minor"/>
      </rPr>
      <t>vo</t>
    </r>
    <r>
      <rPr>
        <b/>
        <sz val="12"/>
        <color theme="1"/>
        <rFont val="Calibri"/>
        <family val="2"/>
        <charset val="162"/>
        <scheme val="minor"/>
      </rPr>
      <t xml:space="preserve"> </t>
    </r>
    <r>
      <rPr>
        <b/>
        <vertAlign val="subscript"/>
        <sz val="12"/>
        <color theme="1"/>
        <rFont val="Calibri"/>
        <family val="2"/>
        <charset val="162"/>
        <scheme val="minor"/>
      </rPr>
      <t xml:space="preserve">  </t>
    </r>
    <r>
      <rPr>
        <b/>
        <sz val="12"/>
        <color theme="1"/>
        <rFont val="Calibri"/>
        <family val="2"/>
        <charset val="162"/>
        <scheme val="minor"/>
      </rPr>
      <t xml:space="preserve">                                              </t>
    </r>
  </si>
  <si>
    <r>
      <t>Durum-2                                  c</t>
    </r>
    <r>
      <rPr>
        <b/>
        <vertAlign val="subscript"/>
        <sz val="12"/>
        <color theme="1"/>
        <rFont val="Calibri"/>
        <family val="2"/>
        <charset val="162"/>
        <scheme val="minor"/>
      </rPr>
      <t xml:space="preserve">u,r </t>
    </r>
    <r>
      <rPr>
        <b/>
        <sz val="12"/>
        <color theme="1"/>
        <rFont val="Calibri"/>
        <family val="2"/>
        <charset val="162"/>
        <scheme val="minor"/>
      </rPr>
      <t>/ σ'</t>
    </r>
    <r>
      <rPr>
        <b/>
        <vertAlign val="subscript"/>
        <sz val="12"/>
        <color theme="1"/>
        <rFont val="Calibri"/>
        <family val="2"/>
        <charset val="162"/>
        <scheme val="minor"/>
      </rPr>
      <t>vo</t>
    </r>
    <r>
      <rPr>
        <b/>
        <sz val="12"/>
        <color theme="1"/>
        <rFont val="Calibri"/>
        <family val="2"/>
        <charset val="162"/>
        <scheme val="minor"/>
      </rPr>
      <t xml:space="preserve"> </t>
    </r>
    <r>
      <rPr>
        <b/>
        <vertAlign val="subscript"/>
        <sz val="12"/>
        <color theme="1"/>
        <rFont val="Calibri"/>
        <family val="2"/>
        <charset val="162"/>
        <scheme val="minor"/>
      </rPr>
      <t xml:space="preserve">  </t>
    </r>
    <r>
      <rPr>
        <b/>
        <sz val="12"/>
        <color theme="1"/>
        <rFont val="Calibri"/>
        <family val="2"/>
        <charset val="162"/>
        <scheme val="minor"/>
      </rPr>
      <t xml:space="preserve">                                              </t>
    </r>
  </si>
  <si>
    <r>
      <t>σ'</t>
    </r>
    <r>
      <rPr>
        <b/>
        <vertAlign val="subscript"/>
        <sz val="12"/>
        <color theme="1"/>
        <rFont val="Calibri"/>
        <family val="2"/>
        <charset val="162"/>
        <scheme val="minor"/>
      </rPr>
      <t xml:space="preserve">vo   </t>
    </r>
    <r>
      <rPr>
        <b/>
        <sz val="12"/>
        <color theme="1"/>
        <rFont val="Calibri"/>
        <family val="2"/>
        <charset val="162"/>
        <scheme val="minor"/>
      </rPr>
      <t xml:space="preserve">          (atm)</t>
    </r>
  </si>
  <si>
    <r>
      <t>Sıvılaşmaya Yatkın Kum Zemin Kalınlığı, H</t>
    </r>
    <r>
      <rPr>
        <b/>
        <vertAlign val="subscript"/>
        <sz val="12"/>
        <color theme="1"/>
        <rFont val="Calibri"/>
        <family val="2"/>
        <charset val="162"/>
        <scheme val="minor"/>
      </rPr>
      <t xml:space="preserve">2 </t>
    </r>
    <r>
      <rPr>
        <b/>
        <sz val="12"/>
        <color theme="1"/>
        <rFont val="Calibri"/>
        <family val="2"/>
        <charset val="162"/>
        <scheme val="minor"/>
      </rPr>
      <t xml:space="preserve">(m)                                                    </t>
    </r>
  </si>
  <si>
    <r>
      <t>Örtü Zemin Tabakası Kalınlığı, H</t>
    </r>
    <r>
      <rPr>
        <b/>
        <vertAlign val="subscript"/>
        <sz val="12"/>
        <color theme="1"/>
        <rFont val="Calibri"/>
        <family val="2"/>
        <charset val="162"/>
        <scheme val="minor"/>
      </rPr>
      <t xml:space="preserve">1  </t>
    </r>
    <r>
      <rPr>
        <b/>
        <sz val="12"/>
        <color theme="1"/>
        <rFont val="Calibri"/>
        <family val="2"/>
        <charset val="162"/>
        <scheme val="minor"/>
      </rPr>
      <t xml:space="preserve">(m)                                                    </t>
    </r>
  </si>
  <si>
    <r>
      <t xml:space="preserve">Sıvılaşma Şiddeti İndeksi          </t>
    </r>
    <r>
      <rPr>
        <b/>
        <i/>
        <sz val="12"/>
        <color theme="1"/>
        <rFont val="Calibri"/>
        <family val="2"/>
        <charset val="162"/>
        <scheme val="minor"/>
      </rPr>
      <t>L</t>
    </r>
    <r>
      <rPr>
        <b/>
        <vertAlign val="subscript"/>
        <sz val="12"/>
        <color theme="1"/>
        <rFont val="Calibri"/>
        <family val="2"/>
        <charset val="162"/>
        <scheme val="minor"/>
      </rPr>
      <t xml:space="preserve">S          </t>
    </r>
    <r>
      <rPr>
        <b/>
        <sz val="12"/>
        <color theme="1"/>
        <rFont val="Calibri"/>
        <family val="2"/>
        <charset val="162"/>
        <scheme val="minor"/>
      </rPr>
      <t xml:space="preserve">                  </t>
    </r>
  </si>
  <si>
    <r>
      <rPr>
        <b/>
        <i/>
        <sz val="12"/>
        <color theme="1"/>
        <rFont val="Symbol"/>
        <family val="1"/>
        <charset val="2"/>
      </rPr>
      <t xml:space="preserve">f  </t>
    </r>
    <r>
      <rPr>
        <b/>
        <sz val="12"/>
        <color theme="1"/>
        <rFont val="Symbol"/>
        <family val="1"/>
        <charset val="2"/>
      </rPr>
      <t xml:space="preserve">          ( °)</t>
    </r>
  </si>
  <si>
    <t>Sıvılaşmaya Yatkın Tabaka Kalınlığı, m</t>
  </si>
  <si>
    <t>ΔH              (m)</t>
  </si>
  <si>
    <r>
      <rPr>
        <b/>
        <i/>
        <sz val="12"/>
        <color theme="1"/>
        <rFont val="Calibri"/>
        <family val="2"/>
        <charset val="162"/>
        <scheme val="minor"/>
      </rPr>
      <t>c</t>
    </r>
    <r>
      <rPr>
        <b/>
        <vertAlign val="subscript"/>
        <sz val="12"/>
        <color theme="1"/>
        <rFont val="Calibri"/>
        <family val="2"/>
        <charset val="162"/>
        <scheme val="minor"/>
      </rPr>
      <t xml:space="preserve">u,r          </t>
    </r>
    <r>
      <rPr>
        <b/>
        <sz val="12"/>
        <color theme="1"/>
        <rFont val="Calibri"/>
        <family val="2"/>
        <charset val="162"/>
        <scheme val="minor"/>
      </rPr>
      <t xml:space="preserve">(kPa)                                                    </t>
    </r>
  </si>
  <si>
    <r>
      <rPr>
        <b/>
        <sz val="12"/>
        <rFont val="Calibri"/>
        <family val="2"/>
        <charset val="162"/>
      </rPr>
      <t>←</t>
    </r>
    <r>
      <rPr>
        <sz val="11"/>
        <rFont val="Calibri"/>
        <family val="2"/>
        <charset val="162"/>
      </rPr>
      <t xml:space="preserve">  </t>
    </r>
    <r>
      <rPr>
        <sz val="11"/>
        <rFont val="Calibri"/>
        <family val="2"/>
        <charset val="162"/>
        <scheme val="minor"/>
      </rPr>
      <t>Sıvılaşmanın Bittiği Zemin Tabakası Başlangıç Derinliği</t>
    </r>
  </si>
  <si>
    <r>
      <rPr>
        <b/>
        <sz val="12"/>
        <rFont val="Calibri"/>
        <family val="2"/>
        <charset val="162"/>
      </rPr>
      <t xml:space="preserve">  ←</t>
    </r>
    <r>
      <rPr>
        <sz val="11"/>
        <rFont val="Calibri"/>
        <family val="2"/>
        <charset val="162"/>
      </rPr>
      <t xml:space="preserve"> </t>
    </r>
    <r>
      <rPr>
        <sz val="12"/>
        <rFont val="Calibri"/>
        <family val="2"/>
        <charset val="162"/>
      </rPr>
      <t xml:space="preserve"> </t>
    </r>
    <r>
      <rPr>
        <sz val="12"/>
        <rFont val="Calibri"/>
        <family val="2"/>
        <charset val="162"/>
        <scheme val="minor"/>
      </rPr>
      <t>Sıvılaşmanın Bittiği Zemin Tabakası Başlangıç Derinliği</t>
    </r>
  </si>
  <si>
    <r>
      <t xml:space="preserve">Sönmez vd. </t>
    </r>
    <r>
      <rPr>
        <b/>
        <sz val="12"/>
        <color theme="1"/>
        <rFont val="Calibri"/>
        <family val="2"/>
        <charset val="162"/>
        <scheme val="minor"/>
      </rPr>
      <t>[2008]</t>
    </r>
  </si>
  <si>
    <r>
      <rPr>
        <b/>
        <sz val="14"/>
        <color theme="1"/>
        <rFont val="Calibri"/>
        <family val="2"/>
        <charset val="162"/>
        <scheme val="minor"/>
      </rPr>
      <t xml:space="preserve">Iwasaki vd.          </t>
    </r>
    <r>
      <rPr>
        <b/>
        <sz val="12"/>
        <color theme="1"/>
        <rFont val="Calibri"/>
        <family val="2"/>
        <charset val="162"/>
        <scheme val="minor"/>
      </rPr>
      <t xml:space="preserve">                        </t>
    </r>
    <r>
      <rPr>
        <sz val="14"/>
        <color theme="1"/>
        <rFont val="Calibri"/>
        <family val="2"/>
        <charset val="162"/>
        <scheme val="minor"/>
      </rPr>
      <t>[1982]</t>
    </r>
  </si>
  <si>
    <t>-33-</t>
  </si>
  <si>
    <r>
      <t xml:space="preserve">Sıvılaşma Potansiyeli İndeksi, </t>
    </r>
    <r>
      <rPr>
        <b/>
        <i/>
        <sz val="12"/>
        <rFont val="Calibri"/>
        <family val="2"/>
        <charset val="162"/>
        <scheme val="minor"/>
      </rPr>
      <t>L</t>
    </r>
    <r>
      <rPr>
        <vertAlign val="subscript"/>
        <sz val="14"/>
        <rFont val="Calibri"/>
        <family val="2"/>
        <charset val="162"/>
        <scheme val="minor"/>
      </rPr>
      <t>I</t>
    </r>
  </si>
  <si>
    <r>
      <t xml:space="preserve">Sıvılaşma Şiddeti İndeksi, </t>
    </r>
    <r>
      <rPr>
        <b/>
        <i/>
        <sz val="12"/>
        <rFont val="Calibri"/>
        <family val="2"/>
        <charset val="162"/>
        <scheme val="minor"/>
      </rPr>
      <t>L</t>
    </r>
    <r>
      <rPr>
        <b/>
        <vertAlign val="subscript"/>
        <sz val="12"/>
        <rFont val="Calibri"/>
        <family val="2"/>
        <charset val="162"/>
        <scheme val="minor"/>
      </rPr>
      <t>S</t>
    </r>
  </si>
  <si>
    <t>[Abağı kullanarak seçiminizi yapınız]</t>
  </si>
  <si>
    <r>
      <rPr>
        <i/>
        <sz val="11"/>
        <color theme="1"/>
        <rFont val="Calibri"/>
        <family val="2"/>
        <charset val="162"/>
        <scheme val="minor"/>
      </rPr>
      <t>F</t>
    </r>
    <r>
      <rPr>
        <vertAlign val="subscript"/>
        <sz val="11"/>
        <color theme="1"/>
        <rFont val="Calibri"/>
        <family val="2"/>
        <charset val="162"/>
        <scheme val="minor"/>
      </rPr>
      <t>L</t>
    </r>
    <r>
      <rPr>
        <sz val="11"/>
        <color theme="1"/>
        <rFont val="Arial"/>
        <family val="2"/>
        <charset val="162"/>
      </rPr>
      <t>≤</t>
    </r>
    <r>
      <rPr>
        <sz val="11"/>
        <color theme="1"/>
        <rFont val="Calibri"/>
        <family val="2"/>
        <charset val="162"/>
        <scheme val="minor"/>
      </rPr>
      <t>1.41</t>
    </r>
  </si>
  <si>
    <r>
      <rPr>
        <i/>
        <sz val="11"/>
        <color theme="1"/>
        <rFont val="Calibri"/>
        <family val="2"/>
        <charset val="162"/>
        <scheme val="minor"/>
      </rPr>
      <t>F</t>
    </r>
    <r>
      <rPr>
        <vertAlign val="subscript"/>
        <sz val="11"/>
        <color theme="1"/>
        <rFont val="Calibri"/>
        <family val="2"/>
        <charset val="162"/>
        <scheme val="minor"/>
      </rPr>
      <t>L</t>
    </r>
    <r>
      <rPr>
        <sz val="11"/>
        <color theme="1"/>
        <rFont val="Arial"/>
        <family val="2"/>
        <charset val="162"/>
      </rPr>
      <t>&lt;</t>
    </r>
    <r>
      <rPr>
        <sz val="11"/>
        <color theme="1"/>
        <rFont val="Calibri"/>
        <family val="2"/>
        <charset val="162"/>
        <scheme val="minor"/>
      </rPr>
      <t>1.0</t>
    </r>
  </si>
  <si>
    <r>
      <rPr>
        <b/>
        <i/>
        <sz val="12"/>
        <color theme="1"/>
        <rFont val="Calibri"/>
        <family val="2"/>
        <scheme val="minor"/>
      </rPr>
      <t>L</t>
    </r>
    <r>
      <rPr>
        <b/>
        <vertAlign val="subscript"/>
        <sz val="12"/>
        <color theme="1"/>
        <rFont val="Calibri"/>
        <family val="2"/>
        <scheme val="minor"/>
      </rPr>
      <t xml:space="preserve">I </t>
    </r>
    <r>
      <rPr>
        <b/>
        <sz val="12"/>
        <color theme="1"/>
        <rFont val="Calibri"/>
        <family val="2"/>
        <scheme val="minor"/>
      </rPr>
      <t>=</t>
    </r>
  </si>
  <si>
    <r>
      <rPr>
        <b/>
        <i/>
        <sz val="12"/>
        <color theme="1"/>
        <rFont val="Calibri"/>
        <family val="2"/>
        <scheme val="minor"/>
      </rPr>
      <t>L</t>
    </r>
    <r>
      <rPr>
        <b/>
        <vertAlign val="subscript"/>
        <sz val="12"/>
        <color theme="1"/>
        <rFont val="Calibri"/>
        <family val="2"/>
        <scheme val="minor"/>
      </rPr>
      <t xml:space="preserve">S </t>
    </r>
    <r>
      <rPr>
        <b/>
        <sz val="12"/>
        <color theme="1"/>
        <rFont val="Calibri"/>
        <family val="2"/>
        <scheme val="minor"/>
      </rPr>
      <t>=</t>
    </r>
  </si>
  <si>
    <t>NOT : Hesaplamaların sorumluluğu kullanıcıya ait olup, Sıvılaşma Sonrası Oturma, Yanal Yayılma ve Kayma Dayanımı Kaybı hesap cetveline ait telif hakları, 5846 sayılı Fikir ve Sanat Eserleri Kanunu gereğince TMMOB Jeoloji Mühendisleri Odasına ait olup, izin almaksızın içeriğinde herhangi bir değişiklik yapılamaz. Hesap cetveli JMO logolu kullanılmak kaydıyla  ücretsiz olarak herkesin kullanımına açıktır. Ancak Oda logosunun hesap cetvelinden çıkarılarak kullanılmasının tespit edilmesi durumunda 5846 sayılı kanun gereğince ilgili kişi hakkında gerekli hukuki yollara başvurulur.</t>
  </si>
  <si>
    <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</si>
</sst>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0#\m"/>
    <numFmt numFmtId="166" formatCode="0.000"/>
    <numFmt numFmtId="167" formatCode="#,##0.00\m"/>
    <numFmt numFmtId="168" formatCode="0.00\m"/>
    <numFmt numFmtId="169" formatCode="\L\P\I\ \=\ 0.00"/>
    <numFmt numFmtId="170" formatCode="&quot;LSI =&quot;\ 0.00"/>
    <numFmt numFmtId="171" formatCode="&quot;SK-&quot;0"/>
    <numFmt numFmtId="172" formatCode="\L\P\I\ \=\ 0"/>
    <numFmt numFmtId="173" formatCode="&quot;∑S = &quot;0.00\m"/>
    <numFmt numFmtId="174" formatCode="&quot;∑H2=&quot;0.00\m"/>
    <numFmt numFmtId="175" formatCode="&quot;Ls =&quot;\ 0"/>
    <numFmt numFmtId="176" formatCode="&quot;Lı =&quot;\ 0"/>
    <numFmt numFmtId="177" formatCode="&quot;LDI=&quot;\ 0.00\m"/>
  </numFmts>
  <fonts count="98">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2"/>
      <color theme="1"/>
      <name val="Calibri"/>
      <family val="2"/>
      <scheme val="minor"/>
    </font>
    <font>
      <b/>
      <sz val="12"/>
      <color theme="1"/>
      <name val="Calibri"/>
      <family val="2"/>
      <charset val="162"/>
      <scheme val="minor"/>
    </font>
    <font>
      <b/>
      <sz val="12"/>
      <color theme="1"/>
      <name val="Calibri"/>
      <family val="2"/>
      <scheme val="minor"/>
    </font>
    <font>
      <b/>
      <vertAlign val="subscript"/>
      <sz val="12"/>
      <color theme="1"/>
      <name val="Calibri"/>
      <family val="2"/>
      <charset val="162"/>
      <scheme val="minor"/>
    </font>
    <font>
      <sz val="9"/>
      <color indexed="81"/>
      <name val="Tahoma"/>
      <family val="2"/>
      <charset val="162"/>
    </font>
    <font>
      <b/>
      <sz val="14"/>
      <color theme="1"/>
      <name val="Calibri"/>
      <family val="2"/>
      <charset val="162"/>
      <scheme val="minor"/>
    </font>
    <font>
      <sz val="12"/>
      <color theme="1"/>
      <name val="Calibri"/>
      <family val="2"/>
      <charset val="162"/>
      <scheme val="minor"/>
    </font>
    <font>
      <sz val="20"/>
      <color theme="1"/>
      <name val="Calibri"/>
      <family val="2"/>
      <charset val="162"/>
      <scheme val="minor"/>
    </font>
    <font>
      <vertAlign val="subscript"/>
      <sz val="20"/>
      <color theme="1"/>
      <name val="Calibri"/>
      <family val="2"/>
      <charset val="162"/>
      <scheme val="minor"/>
    </font>
    <font>
      <sz val="12"/>
      <color theme="1"/>
      <name val="Arial Tur"/>
      <charset val="162"/>
    </font>
    <font>
      <b/>
      <sz val="14"/>
      <color theme="1"/>
      <name val="Calibri"/>
      <family val="2"/>
      <scheme val="minor"/>
    </font>
    <font>
      <sz val="11"/>
      <name val="Calibri"/>
      <family val="2"/>
      <scheme val="minor"/>
    </font>
    <font>
      <b/>
      <sz val="12"/>
      <name val="Calibri"/>
      <family val="2"/>
      <scheme val="minor"/>
    </font>
    <font>
      <sz val="12"/>
      <name val="Calibri"/>
      <family val="2"/>
      <charset val="162"/>
      <scheme val="minor"/>
    </font>
    <font>
      <b/>
      <sz val="11"/>
      <color theme="1"/>
      <name val="Calibri"/>
      <family val="2"/>
      <scheme val="minor"/>
    </font>
    <font>
      <b/>
      <sz val="11"/>
      <color theme="1"/>
      <name val="Calibri"/>
      <family val="2"/>
      <charset val="162"/>
      <scheme val="minor"/>
    </font>
    <font>
      <b/>
      <sz val="11"/>
      <color theme="1"/>
      <name val="Calibri"/>
      <family val="2"/>
    </font>
    <font>
      <sz val="8"/>
      <color theme="1"/>
      <name val="Calibri"/>
      <family val="2"/>
      <scheme val="minor"/>
    </font>
    <font>
      <b/>
      <sz val="10"/>
      <color theme="1"/>
      <name val="Calibri"/>
      <family val="2"/>
      <charset val="162"/>
      <scheme val="minor"/>
    </font>
    <font>
      <b/>
      <sz val="10"/>
      <color theme="1"/>
      <name val="Calibri"/>
      <family val="2"/>
      <charset val="162"/>
    </font>
    <font>
      <sz val="12"/>
      <name val="Calibri"/>
      <family val="2"/>
      <scheme val="minor"/>
    </font>
    <font>
      <b/>
      <sz val="11"/>
      <name val="Calibri"/>
      <family val="2"/>
      <scheme val="minor"/>
    </font>
    <font>
      <b/>
      <sz val="14"/>
      <name val="Calibri"/>
      <family val="2"/>
      <scheme val="minor"/>
    </font>
    <font>
      <b/>
      <sz val="11"/>
      <name val="Calibri"/>
      <family val="2"/>
      <charset val="162"/>
    </font>
    <font>
      <b/>
      <sz val="11"/>
      <name val="Calibri"/>
      <family val="2"/>
      <charset val="162"/>
      <scheme val="minor"/>
    </font>
    <font>
      <b/>
      <vertAlign val="subscript"/>
      <sz val="12"/>
      <color theme="1"/>
      <name val="Calibri"/>
      <family val="2"/>
      <scheme val="minor"/>
    </font>
    <font>
      <b/>
      <sz val="12"/>
      <name val="Symbol"/>
      <family val="1"/>
      <charset val="2"/>
    </font>
    <font>
      <b/>
      <vertAlign val="subscript"/>
      <sz val="12"/>
      <name val="Calibri"/>
      <family val="2"/>
      <scheme val="minor"/>
    </font>
    <font>
      <b/>
      <vertAlign val="superscript"/>
      <sz val="12"/>
      <name val="Calibri"/>
      <family val="2"/>
      <scheme val="minor"/>
    </font>
    <font>
      <b/>
      <sz val="11"/>
      <name val="Calibri"/>
      <family val="2"/>
    </font>
    <font>
      <sz val="12"/>
      <color rgb="FFF58345"/>
      <name val="Calibri"/>
      <family val="2"/>
      <scheme val="minor"/>
    </font>
    <font>
      <sz val="11"/>
      <name val="Calibri"/>
      <family val="2"/>
      <charset val="162"/>
      <scheme val="minor"/>
    </font>
    <font>
      <sz val="11"/>
      <name val="Calibri"/>
      <family val="2"/>
      <charset val="162"/>
    </font>
    <font>
      <sz val="11"/>
      <color theme="1"/>
      <name val="Symbol"/>
      <family val="1"/>
      <charset val="2"/>
    </font>
    <font>
      <b/>
      <vertAlign val="subscript"/>
      <sz val="14"/>
      <color theme="1"/>
      <name val="Calibri"/>
      <family val="2"/>
      <scheme val="minor"/>
    </font>
    <font>
      <b/>
      <sz val="14"/>
      <color theme="1"/>
      <name val="Arial Tur"/>
      <charset val="162"/>
    </font>
    <font>
      <b/>
      <sz val="14"/>
      <color theme="1"/>
      <name val="Calibri"/>
      <family val="2"/>
    </font>
    <font>
      <b/>
      <sz val="14"/>
      <color theme="1"/>
      <name val="Calibri"/>
      <family val="2"/>
      <charset val="162"/>
    </font>
    <font>
      <b/>
      <vertAlign val="subscript"/>
      <sz val="14"/>
      <color theme="1"/>
      <name val="Calibri"/>
      <family val="2"/>
    </font>
    <font>
      <b/>
      <vertAlign val="subscript"/>
      <sz val="14"/>
      <color theme="1"/>
      <name val="Calibri"/>
      <family val="2"/>
      <charset val="162"/>
      <scheme val="minor"/>
    </font>
    <font>
      <b/>
      <sz val="10"/>
      <color theme="2" tint="-0.499984740745262"/>
      <name val="Calibri"/>
      <family val="2"/>
      <charset val="162"/>
      <scheme val="minor"/>
    </font>
    <font>
      <sz val="11"/>
      <color theme="1"/>
      <name val="Calibri"/>
      <family val="2"/>
      <scheme val="minor"/>
    </font>
    <font>
      <b/>
      <vertAlign val="subscript"/>
      <sz val="14"/>
      <color theme="1"/>
      <name val="Calibri"/>
      <family val="2"/>
      <charset val="162"/>
    </font>
    <font>
      <b/>
      <sz val="12"/>
      <name val="Calibri"/>
      <family val="1"/>
      <charset val="2"/>
      <scheme val="minor"/>
    </font>
    <font>
      <b/>
      <i/>
      <sz val="14"/>
      <color theme="1"/>
      <name val="Calibri"/>
      <family val="2"/>
      <charset val="162"/>
      <scheme val="minor"/>
    </font>
    <font>
      <b/>
      <vertAlign val="subscript"/>
      <sz val="12"/>
      <name val="Calibri"/>
      <family val="2"/>
      <charset val="162"/>
      <scheme val="minor"/>
    </font>
    <font>
      <b/>
      <sz val="13"/>
      <name val="Calibri"/>
      <family val="2"/>
      <scheme val="minor"/>
    </font>
    <font>
      <b/>
      <sz val="13"/>
      <color theme="1"/>
      <name val="Calibri"/>
      <family val="2"/>
      <charset val="162"/>
      <scheme val="minor"/>
    </font>
    <font>
      <b/>
      <sz val="22"/>
      <name val="Calibri"/>
      <family val="2"/>
      <charset val="162"/>
      <scheme val="minor"/>
    </font>
    <font>
      <b/>
      <sz val="16"/>
      <color theme="1"/>
      <name val="Calibri"/>
      <family val="2"/>
      <scheme val="minor"/>
    </font>
    <font>
      <b/>
      <sz val="12"/>
      <color theme="1"/>
      <name val="Symbol"/>
      <family val="1"/>
      <charset val="2"/>
    </font>
    <font>
      <b/>
      <vertAlign val="subscript"/>
      <sz val="12"/>
      <color theme="1"/>
      <name val="Arial Tur"/>
      <charset val="162"/>
    </font>
    <font>
      <b/>
      <sz val="12"/>
      <color theme="1"/>
      <name val="Arial"/>
      <family val="2"/>
      <charset val="162"/>
    </font>
    <font>
      <b/>
      <sz val="14"/>
      <color theme="1"/>
      <name val="Symbol"/>
      <family val="1"/>
      <charset val="2"/>
    </font>
    <font>
      <b/>
      <sz val="12"/>
      <color theme="1"/>
      <name val="Calibri"/>
      <family val="2"/>
      <charset val="162"/>
    </font>
    <font>
      <b/>
      <vertAlign val="subscript"/>
      <sz val="14"/>
      <color theme="1"/>
      <name val="Arial"/>
      <family val="2"/>
      <charset val="162"/>
    </font>
    <font>
      <b/>
      <vertAlign val="subscript"/>
      <sz val="14"/>
      <color theme="1"/>
      <name val="Arial Tur"/>
      <charset val="162"/>
    </font>
    <font>
      <b/>
      <sz val="16"/>
      <color theme="1"/>
      <name val="Symbol"/>
      <family val="1"/>
      <charset val="2"/>
    </font>
    <font>
      <b/>
      <sz val="12"/>
      <color theme="1"/>
      <name val="Arial Tur"/>
      <charset val="162"/>
    </font>
    <font>
      <sz val="11"/>
      <color theme="1"/>
      <name val="Arial Tur"/>
      <charset val="162"/>
    </font>
    <font>
      <b/>
      <vertAlign val="superscript"/>
      <sz val="12"/>
      <color theme="1"/>
      <name val="Calibri"/>
      <family val="2"/>
      <charset val="162"/>
      <scheme val="minor"/>
    </font>
    <font>
      <sz val="11"/>
      <color theme="0"/>
      <name val="Calibri"/>
      <family val="2"/>
      <charset val="162"/>
      <scheme val="minor"/>
    </font>
    <font>
      <b/>
      <vertAlign val="subscript"/>
      <sz val="10"/>
      <color indexed="8"/>
      <name val="Calibri"/>
      <family val="2"/>
      <charset val="162"/>
      <scheme val="minor"/>
    </font>
    <font>
      <b/>
      <sz val="10"/>
      <color indexed="8"/>
      <name val="Calibri"/>
      <family val="2"/>
      <charset val="162"/>
      <scheme val="minor"/>
    </font>
    <font>
      <sz val="10"/>
      <name val="Arial"/>
      <family val="2"/>
      <charset val="162"/>
    </font>
    <font>
      <vertAlign val="subscript"/>
      <sz val="10"/>
      <name val="Helv"/>
      <charset val="162"/>
    </font>
    <font>
      <sz val="10"/>
      <name val="Arial Tur"/>
      <charset val="162"/>
    </font>
    <font>
      <sz val="10"/>
      <name val="Helv"/>
      <charset val="162"/>
    </font>
    <font>
      <b/>
      <sz val="10"/>
      <color rgb="FFFF0000"/>
      <name val="Helv"/>
      <charset val="162"/>
    </font>
    <font>
      <b/>
      <sz val="11"/>
      <color rgb="FFFF0000"/>
      <name val="Calibri"/>
      <family val="2"/>
      <charset val="162"/>
      <scheme val="minor"/>
    </font>
    <font>
      <sz val="10"/>
      <color rgb="FFFF0000"/>
      <name val="Arial"/>
      <family val="2"/>
      <charset val="162"/>
    </font>
    <font>
      <sz val="12"/>
      <color rgb="FFFF0000"/>
      <name val="Calibri"/>
      <family val="2"/>
      <charset val="162"/>
      <scheme val="minor"/>
    </font>
    <font>
      <sz val="12"/>
      <name val="Calibri Light"/>
      <family val="2"/>
      <charset val="162"/>
      <scheme val="major"/>
    </font>
    <font>
      <sz val="14"/>
      <color theme="1"/>
      <name val="Calibri"/>
      <family val="2"/>
      <charset val="162"/>
      <scheme val="minor"/>
    </font>
    <font>
      <vertAlign val="subscript"/>
      <sz val="14"/>
      <name val="Calibri"/>
      <family val="2"/>
      <charset val="162"/>
      <scheme val="minor"/>
    </font>
    <font>
      <b/>
      <sz val="12"/>
      <name val="Calibri"/>
      <family val="2"/>
      <charset val="162"/>
      <scheme val="minor"/>
    </font>
    <font>
      <b/>
      <sz val="11"/>
      <name val="Helv"/>
      <charset val="162"/>
    </font>
    <font>
      <sz val="11"/>
      <name val="Helv"/>
    </font>
    <font>
      <b/>
      <i/>
      <sz val="12"/>
      <color theme="1"/>
      <name val="Calibri"/>
      <family val="2"/>
      <charset val="162"/>
      <scheme val="minor"/>
    </font>
    <font>
      <b/>
      <i/>
      <sz val="12"/>
      <color theme="1"/>
      <name val="Symbol"/>
      <family val="1"/>
      <charset val="2"/>
    </font>
    <font>
      <b/>
      <sz val="12"/>
      <name val="Calibri"/>
      <family val="2"/>
      <charset val="162"/>
    </font>
    <font>
      <sz val="12"/>
      <name val="Calibri"/>
      <family val="2"/>
      <charset val="162"/>
    </font>
    <font>
      <vertAlign val="subscript"/>
      <sz val="11"/>
      <color theme="1"/>
      <name val="Calibri"/>
      <family val="2"/>
      <charset val="162"/>
      <scheme val="minor"/>
    </font>
    <font>
      <i/>
      <sz val="11"/>
      <color theme="1"/>
      <name val="Calibri"/>
      <family val="2"/>
      <charset val="162"/>
      <scheme val="minor"/>
    </font>
    <font>
      <b/>
      <i/>
      <sz val="12"/>
      <name val="Calibri"/>
      <family val="2"/>
      <charset val="162"/>
      <scheme val="minor"/>
    </font>
    <font>
      <b/>
      <i/>
      <sz val="12"/>
      <color theme="1"/>
      <name val="Calibri"/>
      <family val="2"/>
      <scheme val="minor"/>
    </font>
    <font>
      <sz val="10"/>
      <color theme="1"/>
      <name val="Calibri"/>
      <family val="2"/>
      <scheme val="minor"/>
    </font>
    <font>
      <sz val="11"/>
      <color theme="1"/>
      <name val="Arial"/>
      <family val="2"/>
      <charset val="162"/>
    </font>
    <font>
      <b/>
      <sz val="16"/>
      <name val="Calibri"/>
      <family val="2"/>
      <charset val="162"/>
      <scheme val="minor"/>
    </font>
    <font>
      <b/>
      <sz val="15"/>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58345"/>
        <bgColor indexed="64"/>
      </patternFill>
    </fill>
    <fill>
      <patternFill patternType="solid">
        <fgColor rgb="FFFDFFDD"/>
        <bgColor indexed="64"/>
      </patternFill>
    </fill>
    <fill>
      <patternFill patternType="solid">
        <fgColor rgb="FFFFF4E5"/>
        <bgColor indexed="64"/>
      </patternFill>
    </fill>
    <fill>
      <patternFill patternType="solid">
        <fgColor rgb="FF00B0F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59999389629810485"/>
        <bgColor indexed="64"/>
      </patternFill>
    </fill>
  </fills>
  <borders count="159">
    <border>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bottom/>
      <diagonal/>
    </border>
    <border>
      <left style="thin">
        <color indexed="64"/>
      </left>
      <right style="thin">
        <color indexed="64"/>
      </right>
      <top/>
      <bottom/>
      <diagonal/>
    </border>
    <border>
      <left style="medium">
        <color indexed="64"/>
      </left>
      <right/>
      <top/>
      <bottom/>
      <diagonal/>
    </border>
    <border>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top/>
      <bottom style="thick">
        <color rgb="FFF58345"/>
      </bottom>
      <diagonal/>
    </border>
    <border>
      <left/>
      <right style="thin">
        <color indexed="64"/>
      </right>
      <top/>
      <bottom style="thick">
        <color rgb="FFF58345"/>
      </bottom>
      <diagonal/>
    </border>
    <border>
      <left style="thin">
        <color indexed="64"/>
      </left>
      <right/>
      <top/>
      <bottom style="thick">
        <color rgb="FFF58345"/>
      </bottom>
      <diagonal/>
    </border>
    <border>
      <left/>
      <right/>
      <top style="thick">
        <color rgb="FFF58345"/>
      </top>
      <bottom style="thick">
        <color rgb="FFF58345"/>
      </bottom>
      <diagonal/>
    </border>
    <border>
      <left style="thin">
        <color rgb="FFF58345"/>
      </left>
      <right style="thin">
        <color rgb="FFF58345"/>
      </right>
      <top style="thin">
        <color rgb="FFF58345"/>
      </top>
      <bottom style="thick">
        <color rgb="FFF58345"/>
      </bottom>
      <diagonal/>
    </border>
    <border>
      <left style="thin">
        <color rgb="FFF58345"/>
      </left>
      <right style="thin">
        <color rgb="FFF58345"/>
      </right>
      <top/>
      <bottom style="thin">
        <color rgb="FFF58345"/>
      </bottom>
      <diagonal/>
    </border>
    <border>
      <left style="thin">
        <color rgb="FFF58345"/>
      </left>
      <right style="thin">
        <color rgb="FFF58345"/>
      </right>
      <top style="thick">
        <color rgb="FFF58345"/>
      </top>
      <bottom style="thin">
        <color rgb="FFF58345"/>
      </bottom>
      <diagonal/>
    </border>
    <border>
      <left/>
      <right/>
      <top style="thick">
        <color rgb="FFF58345"/>
      </top>
      <bottom/>
      <diagonal/>
    </border>
    <border>
      <left style="thin">
        <color rgb="FFF58345"/>
      </left>
      <right/>
      <top style="thick">
        <color rgb="FFF58345"/>
      </top>
      <bottom style="thick">
        <color rgb="FFF58345"/>
      </bottom>
      <diagonal/>
    </border>
    <border>
      <left/>
      <right style="thin">
        <color rgb="FFF58345"/>
      </right>
      <top style="thick">
        <color rgb="FFF58345"/>
      </top>
      <bottom style="thick">
        <color rgb="FFF58345"/>
      </bottom>
      <diagonal/>
    </border>
    <border>
      <left/>
      <right style="thin">
        <color rgb="FFF58345"/>
      </right>
      <top style="thick">
        <color rgb="FFF58345"/>
      </top>
      <bottom style="thin">
        <color rgb="FFF58345"/>
      </bottom>
      <diagonal/>
    </border>
    <border>
      <left style="thick">
        <color rgb="FFF58345"/>
      </left>
      <right/>
      <top style="thick">
        <color rgb="FFF58345"/>
      </top>
      <bottom/>
      <diagonal/>
    </border>
    <border>
      <left/>
      <right style="thick">
        <color rgb="FFF58345"/>
      </right>
      <top style="thick">
        <color rgb="FFF58345"/>
      </top>
      <bottom/>
      <diagonal/>
    </border>
    <border>
      <left style="thick">
        <color rgb="FFF58345"/>
      </left>
      <right/>
      <top/>
      <bottom/>
      <diagonal/>
    </border>
    <border>
      <left/>
      <right style="thick">
        <color rgb="FFF58345"/>
      </right>
      <top/>
      <bottom/>
      <diagonal/>
    </border>
    <border>
      <left style="thick">
        <color rgb="FFF58345"/>
      </left>
      <right/>
      <top/>
      <bottom style="thick">
        <color rgb="FFF58345"/>
      </bottom>
      <diagonal/>
    </border>
    <border>
      <left style="thin">
        <color rgb="FFF58345"/>
      </left>
      <right style="thin">
        <color rgb="FFF58345"/>
      </right>
      <top/>
      <bottom style="thick">
        <color rgb="FFF58345"/>
      </bottom>
      <diagonal/>
    </border>
    <border>
      <left/>
      <right style="thick">
        <color rgb="FFF58345"/>
      </right>
      <top/>
      <bottom style="thick">
        <color rgb="FFF58345"/>
      </bottom>
      <diagonal/>
    </border>
    <border>
      <left/>
      <right style="thin">
        <color rgb="FFF58345"/>
      </right>
      <top/>
      <bottom style="thick">
        <color rgb="FFF58345"/>
      </bottom>
      <diagonal/>
    </border>
    <border>
      <left/>
      <right style="thin">
        <color rgb="FFF58345"/>
      </right>
      <top style="thin">
        <color rgb="FFF58345"/>
      </top>
      <bottom style="thick">
        <color rgb="FFF58345"/>
      </bottom>
      <diagonal/>
    </border>
    <border>
      <left style="thin">
        <color indexed="64"/>
      </left>
      <right style="thick">
        <color rgb="FFF58345"/>
      </right>
      <top/>
      <bottom/>
      <diagonal/>
    </border>
    <border>
      <left style="thick">
        <color rgb="FFF58345"/>
      </left>
      <right style="thin">
        <color indexed="64"/>
      </right>
      <top style="hair">
        <color indexed="64"/>
      </top>
      <bottom style="hair">
        <color indexed="64"/>
      </bottom>
      <diagonal/>
    </border>
    <border>
      <left/>
      <right style="thick">
        <color rgb="FFF58345"/>
      </right>
      <top style="hair">
        <color indexed="64"/>
      </top>
      <bottom style="hair">
        <color indexed="64"/>
      </bottom>
      <diagonal/>
    </border>
    <border>
      <left style="thick">
        <color rgb="FFF58345"/>
      </left>
      <right style="thin">
        <color indexed="64"/>
      </right>
      <top/>
      <bottom/>
      <diagonal/>
    </border>
    <border>
      <left style="thin">
        <color indexed="64"/>
      </left>
      <right style="thick">
        <color rgb="FFF58345"/>
      </right>
      <top style="hair">
        <color indexed="64"/>
      </top>
      <bottom style="hair">
        <color indexed="64"/>
      </bottom>
      <diagonal/>
    </border>
    <border>
      <left style="thick">
        <color rgb="FFF58345"/>
      </left>
      <right/>
      <top style="hair">
        <color indexed="64"/>
      </top>
      <bottom style="hair">
        <color indexed="64"/>
      </bottom>
      <diagonal/>
    </border>
    <border>
      <left style="thick">
        <color rgb="FFF58345"/>
      </left>
      <right style="thick">
        <color rgb="FFF58345"/>
      </right>
      <top/>
      <bottom style="thick">
        <color rgb="FFF58345"/>
      </bottom>
      <diagonal/>
    </border>
    <border>
      <left/>
      <right style="thin">
        <color indexed="64"/>
      </right>
      <top style="thick">
        <color rgb="FFF58345"/>
      </top>
      <bottom/>
      <diagonal/>
    </border>
    <border>
      <left style="thin">
        <color indexed="64"/>
      </left>
      <right style="thin">
        <color indexed="64"/>
      </right>
      <top style="thick">
        <color rgb="FFF58345"/>
      </top>
      <bottom/>
      <diagonal/>
    </border>
    <border>
      <left style="thin">
        <color indexed="64"/>
      </left>
      <right/>
      <top style="thick">
        <color rgb="FFF58345"/>
      </top>
      <bottom/>
      <diagonal/>
    </border>
    <border>
      <left style="thin">
        <color indexed="64"/>
      </left>
      <right style="thick">
        <color rgb="FFF58345"/>
      </right>
      <top style="thick">
        <color rgb="FFF58345"/>
      </top>
      <bottom/>
      <diagonal/>
    </border>
    <border>
      <left style="thick">
        <color rgb="FFF58345"/>
      </left>
      <right style="thin">
        <color indexed="64"/>
      </right>
      <top style="thick">
        <color rgb="FFF58345"/>
      </top>
      <bottom/>
      <diagonal/>
    </border>
    <border>
      <left style="thick">
        <color rgb="FFF58345"/>
      </left>
      <right style="thin">
        <color indexed="64"/>
      </right>
      <top/>
      <bottom style="thick">
        <color rgb="FFF58345"/>
      </bottom>
      <diagonal/>
    </border>
    <border>
      <left style="thin">
        <color indexed="64"/>
      </left>
      <right style="thin">
        <color indexed="64"/>
      </right>
      <top/>
      <bottom style="thick">
        <color rgb="FFF58345"/>
      </bottom>
      <diagonal/>
    </border>
    <border>
      <left style="thin">
        <color indexed="64"/>
      </left>
      <right style="thick">
        <color rgb="FFF58345"/>
      </right>
      <top/>
      <bottom style="thick">
        <color rgb="FFF58345"/>
      </bottom>
      <diagonal/>
    </border>
    <border>
      <left style="thick">
        <color rgb="FFF58345"/>
      </left>
      <right style="thin">
        <color indexed="64"/>
      </right>
      <top style="thick">
        <color rgb="FFF58345"/>
      </top>
      <bottom style="hair">
        <color indexed="64"/>
      </bottom>
      <diagonal/>
    </border>
    <border>
      <left style="thin">
        <color indexed="64"/>
      </left>
      <right style="thin">
        <color indexed="64"/>
      </right>
      <top style="thick">
        <color rgb="FFF58345"/>
      </top>
      <bottom style="hair">
        <color indexed="64"/>
      </bottom>
      <diagonal/>
    </border>
    <border>
      <left style="thin">
        <color indexed="64"/>
      </left>
      <right/>
      <top style="thick">
        <color rgb="FFF58345"/>
      </top>
      <bottom style="hair">
        <color indexed="64"/>
      </bottom>
      <diagonal/>
    </border>
    <border>
      <left/>
      <right/>
      <top style="thick">
        <color rgb="FFF58345"/>
      </top>
      <bottom style="hair">
        <color indexed="64"/>
      </bottom>
      <diagonal/>
    </border>
    <border>
      <left/>
      <right style="thin">
        <color indexed="64"/>
      </right>
      <top style="thick">
        <color rgb="FFF58345"/>
      </top>
      <bottom style="hair">
        <color indexed="64"/>
      </bottom>
      <diagonal/>
    </border>
    <border>
      <left style="thick">
        <color rgb="FFF58345"/>
      </left>
      <right/>
      <top style="thick">
        <color rgb="FFF58345"/>
      </top>
      <bottom style="thick">
        <color rgb="FFF58345"/>
      </bottom>
      <diagonal/>
    </border>
    <border>
      <left/>
      <right style="thick">
        <color rgb="FFF58345"/>
      </right>
      <top style="thick">
        <color rgb="FFF58345"/>
      </top>
      <bottom style="thick">
        <color rgb="FFF58345"/>
      </bottom>
      <diagonal/>
    </border>
    <border>
      <left style="thin">
        <color rgb="FFF58345"/>
      </left>
      <right/>
      <top style="thin">
        <color rgb="FFF58345"/>
      </top>
      <bottom style="thick">
        <color rgb="FFF58345"/>
      </bottom>
      <diagonal/>
    </border>
    <border>
      <left style="thin">
        <color rgb="FFF58345"/>
      </left>
      <right/>
      <top/>
      <bottom style="thick">
        <color rgb="FFF58345"/>
      </bottom>
      <diagonal/>
    </border>
    <border>
      <left style="thin">
        <color rgb="FFF58345"/>
      </left>
      <right/>
      <top style="thick">
        <color rgb="FFF58345"/>
      </top>
      <bottom style="thin">
        <color rgb="FFF58345"/>
      </bottom>
      <diagonal/>
    </border>
    <border>
      <left style="thick">
        <color rgb="FFF58345"/>
      </left>
      <right style="thin">
        <color indexed="64"/>
      </right>
      <top style="hair">
        <color indexed="64"/>
      </top>
      <bottom/>
      <diagonal/>
    </border>
    <border>
      <left style="thin">
        <color indexed="64"/>
      </left>
      <right style="thick">
        <color rgb="FFF58345"/>
      </right>
      <top style="hair">
        <color indexed="64"/>
      </top>
      <bottom/>
      <diagonal/>
    </border>
    <border>
      <left style="thick">
        <color rgb="FFF58345"/>
      </left>
      <right/>
      <top style="hair">
        <color indexed="64"/>
      </top>
      <bottom/>
      <diagonal/>
    </border>
    <border>
      <left style="thin">
        <color rgb="FFF58345"/>
      </left>
      <right style="thin">
        <color rgb="FFF58345"/>
      </right>
      <top style="thick">
        <color rgb="FFF58345"/>
      </top>
      <bottom style="thick">
        <color rgb="FFF58345"/>
      </bottom>
      <diagonal/>
    </border>
    <border>
      <left/>
      <right/>
      <top/>
      <bottom style="thick">
        <color theme="5"/>
      </bottom>
      <diagonal/>
    </border>
    <border>
      <left style="thick">
        <color theme="5"/>
      </left>
      <right style="thick">
        <color rgb="FFF58345"/>
      </right>
      <top style="thick">
        <color theme="5"/>
      </top>
      <bottom/>
      <diagonal/>
    </border>
    <border>
      <left style="thick">
        <color rgb="FFF58345"/>
      </left>
      <right style="thick">
        <color rgb="FFF58345"/>
      </right>
      <top style="thick">
        <color theme="5"/>
      </top>
      <bottom/>
      <diagonal/>
    </border>
    <border>
      <left style="thick">
        <color theme="5"/>
      </left>
      <right style="thick">
        <color rgb="FFF58345"/>
      </right>
      <top/>
      <bottom style="thick">
        <color rgb="FFF58345"/>
      </bottom>
      <diagonal/>
    </border>
    <border>
      <left/>
      <right style="thick">
        <color theme="5"/>
      </right>
      <top style="thick">
        <color rgb="FFF58345"/>
      </top>
      <bottom style="thick">
        <color rgb="FFF58345"/>
      </bottom>
      <diagonal/>
    </border>
    <border>
      <left style="thick">
        <color theme="5"/>
      </left>
      <right/>
      <top style="thick">
        <color rgb="FFF58345"/>
      </top>
      <bottom/>
      <diagonal/>
    </border>
    <border>
      <left/>
      <right style="thick">
        <color theme="5"/>
      </right>
      <top style="thick">
        <color rgb="FFF58345"/>
      </top>
      <bottom/>
      <diagonal/>
    </border>
    <border>
      <left style="thick">
        <color theme="5"/>
      </left>
      <right/>
      <top/>
      <bottom/>
      <diagonal/>
    </border>
    <border>
      <left/>
      <right style="thick">
        <color theme="5"/>
      </right>
      <top/>
      <bottom/>
      <diagonal/>
    </border>
    <border>
      <left style="thick">
        <color theme="5"/>
      </left>
      <right/>
      <top/>
      <bottom style="thick">
        <color rgb="FFF58345"/>
      </bottom>
      <diagonal/>
    </border>
    <border>
      <left style="thick">
        <color theme="5"/>
      </left>
      <right style="thin">
        <color indexed="64"/>
      </right>
      <top style="thick">
        <color rgb="FFF58345"/>
      </top>
      <bottom style="hair">
        <color indexed="64"/>
      </bottom>
      <diagonal/>
    </border>
    <border>
      <left style="thick">
        <color theme="5"/>
      </left>
      <right style="thin">
        <color indexed="64"/>
      </right>
      <top style="hair">
        <color indexed="64"/>
      </top>
      <bottom style="hair">
        <color indexed="64"/>
      </bottom>
      <diagonal/>
    </border>
    <border>
      <left/>
      <right style="thick">
        <color theme="5"/>
      </right>
      <top style="hair">
        <color indexed="64"/>
      </top>
      <bottom style="hair">
        <color indexed="64"/>
      </bottom>
      <diagonal/>
    </border>
    <border>
      <left style="thick">
        <color theme="5"/>
      </left>
      <right style="thin">
        <color indexed="64"/>
      </right>
      <top style="hair">
        <color indexed="64"/>
      </top>
      <bottom/>
      <diagonal/>
    </border>
    <border>
      <left style="thick">
        <color theme="5"/>
      </left>
      <right style="thin">
        <color indexed="64"/>
      </right>
      <top style="thick">
        <color rgb="FFF58345"/>
      </top>
      <bottom/>
      <diagonal/>
    </border>
    <border>
      <left style="thick">
        <color theme="5"/>
      </left>
      <right/>
      <top/>
      <bottom style="thick">
        <color theme="5"/>
      </bottom>
      <diagonal/>
    </border>
    <border>
      <left/>
      <right style="thick">
        <color theme="5"/>
      </right>
      <top/>
      <bottom style="thick">
        <color theme="5"/>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right style="thick">
        <color theme="5"/>
      </right>
      <top/>
      <bottom style="thick">
        <color rgb="FFF58345"/>
      </bottom>
      <diagonal/>
    </border>
    <border>
      <left style="thin">
        <color rgb="FFF58345"/>
      </left>
      <right style="thick">
        <color theme="5"/>
      </right>
      <top style="thin">
        <color rgb="FFF58345"/>
      </top>
      <bottom style="thick">
        <color rgb="FFF58345"/>
      </bottom>
      <diagonal/>
    </border>
    <border>
      <left style="thin">
        <color rgb="FFF58345"/>
      </left>
      <right style="thick">
        <color theme="5"/>
      </right>
      <top style="thick">
        <color rgb="FFF58345"/>
      </top>
      <bottom style="thin">
        <color rgb="FFF58345"/>
      </bottom>
      <diagonal/>
    </border>
    <border>
      <left/>
      <right style="thick">
        <color rgb="FFF58345"/>
      </right>
      <top/>
      <bottom style="thick">
        <color theme="5"/>
      </bottom>
      <diagonal/>
    </border>
    <border>
      <left style="thin">
        <color rgb="FFF58345"/>
      </left>
      <right style="thin">
        <color rgb="FFF58345"/>
      </right>
      <top style="thin">
        <color rgb="FFF58345"/>
      </top>
      <bottom style="thick">
        <color theme="5"/>
      </bottom>
      <diagonal/>
    </border>
    <border>
      <left style="thin">
        <color rgb="FFF58345"/>
      </left>
      <right/>
      <top style="thin">
        <color rgb="FFF58345"/>
      </top>
      <bottom style="thick">
        <color theme="5"/>
      </bottom>
      <diagonal/>
    </border>
    <border>
      <left/>
      <right/>
      <top style="thin">
        <color rgb="FFF58345"/>
      </top>
      <bottom style="thick">
        <color theme="5"/>
      </bottom>
      <diagonal/>
    </border>
    <border>
      <left style="thin">
        <color rgb="FFF58345"/>
      </left>
      <right style="thick">
        <color theme="5"/>
      </right>
      <top style="thin">
        <color rgb="FFF58345"/>
      </top>
      <bottom style="thick">
        <color theme="5"/>
      </bottom>
      <diagonal/>
    </border>
    <border>
      <left/>
      <right style="thin">
        <color rgb="FFF58345"/>
      </right>
      <top/>
      <bottom style="thick">
        <color theme="5"/>
      </bottom>
      <diagonal/>
    </border>
    <border>
      <left style="thin">
        <color rgb="FFF58345"/>
      </left>
      <right/>
      <top/>
      <bottom style="thick">
        <color theme="5"/>
      </bottom>
      <diagonal/>
    </border>
    <border>
      <left style="thin">
        <color rgb="FFF58345"/>
      </left>
      <right style="thick">
        <color theme="5"/>
      </right>
      <top style="thick">
        <color rgb="FFF58345"/>
      </top>
      <bottom style="thick">
        <color rgb="FFF58345"/>
      </bottom>
      <diagonal/>
    </border>
    <border>
      <left style="thick">
        <color rgb="FFF58345"/>
      </left>
      <right style="thin">
        <color rgb="FFF58345"/>
      </right>
      <top style="thick">
        <color rgb="FFF58345"/>
      </top>
      <bottom style="thick">
        <color rgb="FFF58345"/>
      </bottom>
      <diagonal/>
    </border>
    <border>
      <left style="thick">
        <color rgb="FFF58345"/>
      </left>
      <right style="thin">
        <color rgb="FFF58345"/>
      </right>
      <top style="thick">
        <color rgb="FFF58345"/>
      </top>
      <bottom style="thin">
        <color rgb="FFF58345"/>
      </bottom>
      <diagonal/>
    </border>
    <border>
      <left/>
      <right/>
      <top style="thick">
        <color rgb="FFF58345"/>
      </top>
      <bottom style="thin">
        <color rgb="FFF58345"/>
      </bottom>
      <diagonal/>
    </border>
    <border>
      <left style="thick">
        <color rgb="FFF58345"/>
      </left>
      <right style="thin">
        <color rgb="FFF58345"/>
      </right>
      <top style="thin">
        <color rgb="FFF58345"/>
      </top>
      <bottom style="thick">
        <color theme="5"/>
      </bottom>
      <diagonal/>
    </border>
    <border>
      <left style="thin">
        <color rgb="FFF58345"/>
      </left>
      <right style="thick">
        <color theme="5"/>
      </right>
      <top/>
      <bottom style="thick">
        <color rgb="FFF58345"/>
      </bottom>
      <diagonal/>
    </border>
    <border>
      <left style="thick">
        <color rgb="FFF58345"/>
      </left>
      <right style="thin">
        <color rgb="FFF58345"/>
      </right>
      <top/>
      <bottom style="thin">
        <color rgb="FFF58345"/>
      </bottom>
      <diagonal/>
    </border>
    <border>
      <left style="thick">
        <color rgb="FFF58345"/>
      </left>
      <right/>
      <top style="thick">
        <color rgb="FFF58345"/>
      </top>
      <bottom style="thin">
        <color rgb="FFF58345"/>
      </bottom>
      <diagonal/>
    </border>
    <border>
      <left style="thick">
        <color rgb="FFF58345"/>
      </left>
      <right/>
      <top style="thin">
        <color rgb="FFF58345"/>
      </top>
      <bottom style="thick">
        <color rgb="FFF58345"/>
      </bottom>
      <diagonal/>
    </border>
    <border>
      <left/>
      <right/>
      <top style="thin">
        <color rgb="FFF58345"/>
      </top>
      <bottom style="thick">
        <color rgb="FFF58345"/>
      </bottom>
      <diagonal/>
    </border>
    <border>
      <left style="thick">
        <color rgb="FFF58345"/>
      </left>
      <right style="thin">
        <color rgb="FFF58345"/>
      </right>
      <top style="thin">
        <color rgb="FFF58345"/>
      </top>
      <bottom style="thick">
        <color rgb="FFF58345"/>
      </bottom>
      <diagonal/>
    </border>
    <border>
      <left style="thick">
        <color rgb="FFF58345"/>
      </left>
      <right style="thin">
        <color rgb="FFF58345"/>
      </right>
      <top/>
      <bottom style="thick">
        <color rgb="FFF58345"/>
      </bottom>
      <diagonal/>
    </border>
    <border>
      <left style="thick">
        <color rgb="FFF58345"/>
      </left>
      <right/>
      <top/>
      <bottom style="thick">
        <color theme="5"/>
      </bottom>
      <diagonal/>
    </border>
    <border>
      <left style="thin">
        <color indexed="64"/>
      </left>
      <right style="thick">
        <color theme="5"/>
      </right>
      <top/>
      <bottom style="thick">
        <color rgb="FFF58345"/>
      </bottom>
      <diagonal/>
    </border>
    <border>
      <left/>
      <right style="thick">
        <color rgb="FFF58345"/>
      </right>
      <top style="thick">
        <color theme="5"/>
      </top>
      <bottom/>
      <diagonal/>
    </border>
    <border>
      <left style="thin">
        <color rgb="FFF58345"/>
      </left>
      <right style="thin">
        <color rgb="FFF58345"/>
      </right>
      <top style="thin">
        <color rgb="FFF58345"/>
      </top>
      <bottom/>
      <diagonal/>
    </border>
    <border>
      <left style="thick">
        <color rgb="FFF58345"/>
      </left>
      <right/>
      <top style="thick">
        <color rgb="FFF58345"/>
      </top>
      <bottom style="hair">
        <color indexed="64"/>
      </bottom>
      <diagonal/>
    </border>
    <border>
      <left/>
      <right style="thin">
        <color rgb="FFF58345"/>
      </right>
      <top/>
      <bottom/>
      <diagonal/>
    </border>
    <border>
      <left style="thick">
        <color rgb="FFF58345"/>
      </left>
      <right style="thin">
        <color indexed="64"/>
      </right>
      <top/>
      <bottom style="hair">
        <color indexed="64"/>
      </bottom>
      <diagonal/>
    </border>
    <border>
      <left style="thin">
        <color indexed="64"/>
      </left>
      <right style="thin">
        <color indexed="64"/>
      </right>
      <top/>
      <bottom style="hair">
        <color indexed="64"/>
      </bottom>
      <diagonal/>
    </border>
    <border>
      <left style="thick">
        <color theme="5"/>
      </left>
      <right style="thin">
        <color indexed="64"/>
      </right>
      <top/>
      <bottom/>
      <diagonal/>
    </border>
    <border>
      <left style="thick">
        <color theme="5"/>
      </left>
      <right style="thin">
        <color indexed="64"/>
      </right>
      <top style="hair">
        <color indexed="64"/>
      </top>
      <bottom style="thick">
        <color theme="5"/>
      </bottom>
      <diagonal/>
    </border>
    <border>
      <left style="thin">
        <color indexed="64"/>
      </left>
      <right style="thin">
        <color indexed="64"/>
      </right>
      <top style="hair">
        <color indexed="64"/>
      </top>
      <bottom style="thick">
        <color theme="5"/>
      </bottom>
      <diagonal/>
    </border>
    <border>
      <left style="thin">
        <color indexed="64"/>
      </left>
      <right/>
      <top style="hair">
        <color indexed="64"/>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ck">
        <color rgb="FFF58345"/>
      </left>
      <right/>
      <top style="hair">
        <color indexed="64"/>
      </top>
      <bottom style="thick">
        <color theme="5"/>
      </bottom>
      <diagonal/>
    </border>
    <border>
      <left style="thin">
        <color indexed="64"/>
      </left>
      <right style="thick">
        <color rgb="FFF58345"/>
      </right>
      <top style="hair">
        <color indexed="64"/>
      </top>
      <bottom style="thick">
        <color theme="5"/>
      </bottom>
      <diagonal/>
    </border>
    <border>
      <left style="thin">
        <color indexed="64"/>
      </left>
      <right/>
      <top/>
      <bottom style="hair">
        <color indexed="64"/>
      </bottom>
      <diagonal/>
    </border>
    <border>
      <left/>
      <right style="thick">
        <color rgb="FFF58345"/>
      </right>
      <top style="thick">
        <color rgb="FFF58345"/>
      </top>
      <bottom style="hair">
        <color indexed="64"/>
      </bottom>
      <diagonal/>
    </border>
    <border>
      <left/>
      <right style="thick">
        <color rgb="FFF58345"/>
      </right>
      <top style="thick">
        <color rgb="FFF58345"/>
      </top>
      <bottom style="thin">
        <color rgb="FFF58345"/>
      </bottom>
      <diagonal/>
    </border>
    <border>
      <left/>
      <right style="thick">
        <color rgb="FFF58345"/>
      </right>
      <top style="thin">
        <color rgb="FFF58345"/>
      </top>
      <bottom style="thick">
        <color rgb="FFF58345"/>
      </bottom>
      <diagonal/>
    </border>
    <border>
      <left/>
      <right style="thick">
        <color rgb="FFF58345"/>
      </right>
      <top style="thin">
        <color rgb="FFF58345"/>
      </top>
      <bottom style="thick">
        <color theme="5"/>
      </bottom>
      <diagonal/>
    </border>
    <border>
      <left/>
      <right style="thin">
        <color rgb="FFF58345"/>
      </right>
      <top style="thick">
        <color rgb="FFF58345"/>
      </top>
      <bottom/>
      <diagonal/>
    </border>
    <border>
      <left/>
      <right style="thick">
        <color theme="5"/>
      </right>
      <top style="thick">
        <color rgb="FFF58345"/>
      </top>
      <bottom style="thin">
        <color rgb="FFF58345"/>
      </bottom>
      <diagonal/>
    </border>
    <border>
      <left style="thin">
        <color rgb="FFF58345"/>
      </left>
      <right/>
      <top/>
      <bottom/>
      <diagonal/>
    </border>
    <border>
      <left/>
      <right style="thin">
        <color indexed="64"/>
      </right>
      <top/>
      <bottom style="hair">
        <color indexed="64"/>
      </bottom>
      <diagonal/>
    </border>
    <border>
      <left style="thin">
        <color rgb="FFF58345"/>
      </left>
      <right/>
      <top style="thick">
        <color rgb="FFF58345"/>
      </top>
      <bottom/>
      <diagonal/>
    </border>
    <border>
      <left/>
      <right style="thick">
        <color theme="5"/>
      </right>
      <top style="thin">
        <color rgb="FFF58345"/>
      </top>
      <bottom style="thick">
        <color rgb="FFF58345"/>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ck">
        <color theme="5"/>
      </left>
      <right/>
      <top style="hair">
        <color indexed="64"/>
      </top>
      <bottom style="hair">
        <color indexed="64"/>
      </bottom>
      <diagonal/>
    </border>
    <border>
      <left style="thick">
        <color rgb="FFF58345"/>
      </left>
      <right/>
      <top style="thick">
        <color theme="5"/>
      </top>
      <bottom/>
      <diagonal/>
    </border>
    <border>
      <left/>
      <right style="thick">
        <color rgb="FFF58345"/>
      </right>
      <top style="hair">
        <color indexed="64"/>
      </top>
      <bottom/>
      <diagonal/>
    </border>
    <border>
      <left style="thin">
        <color indexed="64"/>
      </left>
      <right/>
      <top/>
      <bottom style="thin">
        <color indexed="64"/>
      </bottom>
      <diagonal/>
    </border>
    <border>
      <left/>
      <right/>
      <top/>
      <bottom style="thin">
        <color indexed="64"/>
      </bottom>
      <diagonal/>
    </border>
    <border>
      <left/>
      <right style="thick">
        <color rgb="FFF58345"/>
      </right>
      <top/>
      <bottom style="thin">
        <color indexed="64"/>
      </bottom>
      <diagonal/>
    </border>
    <border>
      <left style="thin">
        <color indexed="64"/>
      </left>
      <right style="thick">
        <color rgb="FFF58345"/>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ck">
        <color rgb="FFF58345"/>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ck">
        <color rgb="FFF58345"/>
      </right>
      <top style="hair">
        <color indexed="64"/>
      </top>
      <bottom style="thin">
        <color indexed="64"/>
      </bottom>
      <diagonal/>
    </border>
    <border>
      <left style="thin">
        <color indexed="64"/>
      </left>
      <right/>
      <top style="hair">
        <color indexed="64"/>
      </top>
      <bottom style="thick">
        <color rgb="FFF58345"/>
      </bottom>
      <diagonal/>
    </border>
    <border>
      <left/>
      <right/>
      <top style="hair">
        <color indexed="64"/>
      </top>
      <bottom style="thick">
        <color rgb="FFF58345"/>
      </bottom>
      <diagonal/>
    </border>
    <border>
      <left/>
      <right style="thin">
        <color indexed="64"/>
      </right>
      <top style="hair">
        <color indexed="64"/>
      </top>
      <bottom style="thick">
        <color rgb="FFF58345"/>
      </bottom>
      <diagonal/>
    </border>
  </borders>
  <cellStyleXfs count="2">
    <xf numFmtId="0" fontId="0" fillId="0" borderId="0"/>
    <xf numFmtId="43" fontId="49" fillId="0" borderId="0" applyFont="0" applyFill="0" applyBorder="0" applyAlignment="0" applyProtection="0"/>
  </cellStyleXfs>
  <cellXfs count="846">
    <xf numFmtId="0" fontId="0" fillId="0" borderId="0" xfId="0"/>
    <xf numFmtId="0" fontId="8" fillId="0" borderId="0" xfId="0" applyFont="1" applyAlignment="1">
      <alignment vertical="center"/>
    </xf>
    <xf numFmtId="2" fontId="8" fillId="0" borderId="0" xfId="0" applyNumberFormat="1" applyFont="1" applyAlignment="1">
      <alignment horizontal="center" vertical="center"/>
    </xf>
    <xf numFmtId="0" fontId="13" fillId="0" borderId="0" xfId="0" applyFont="1" applyAlignment="1">
      <alignment horizontal="center" vertical="center"/>
    </xf>
    <xf numFmtId="2" fontId="8" fillId="0" borderId="0" xfId="0" applyNumberFormat="1" applyFont="1" applyAlignment="1">
      <alignment horizontal="center"/>
    </xf>
    <xf numFmtId="0" fontId="8" fillId="2" borderId="0" xfId="0" applyFont="1" applyFill="1" applyAlignment="1">
      <alignment vertical="center"/>
    </xf>
    <xf numFmtId="0" fontId="8" fillId="0" borderId="0" xfId="0" applyFont="1"/>
    <xf numFmtId="0" fontId="23" fillId="0" borderId="0" xfId="0" applyFont="1"/>
    <xf numFmtId="0" fontId="0" fillId="4" borderId="0" xfId="0" applyFill="1"/>
    <xf numFmtId="0" fontId="0" fillId="0" borderId="0" xfId="0" applyFont="1" applyAlignment="1">
      <alignment horizontal="right"/>
    </xf>
    <xf numFmtId="0" fontId="8" fillId="7" borderId="0" xfId="0" applyFont="1" applyFill="1" applyAlignment="1">
      <alignment vertical="center"/>
    </xf>
    <xf numFmtId="0" fontId="32" fillId="5" borderId="0" xfId="0" applyFont="1" applyFill="1" applyBorder="1" applyAlignment="1">
      <alignment horizontal="center" vertical="center"/>
    </xf>
    <xf numFmtId="2" fontId="19" fillId="5" borderId="0" xfId="0" applyNumberFormat="1" applyFont="1" applyFill="1" applyBorder="1" applyAlignment="1">
      <alignment horizontal="center" vertical="center"/>
    </xf>
    <xf numFmtId="1" fontId="32" fillId="5" borderId="0" xfId="0" applyNumberFormat="1" applyFont="1" applyFill="1" applyBorder="1" applyAlignment="1">
      <alignment horizontal="center" vertical="center"/>
    </xf>
    <xf numFmtId="164" fontId="28" fillId="5" borderId="0" xfId="0" applyNumberFormat="1" applyFont="1" applyFill="1" applyBorder="1" applyAlignment="1">
      <alignment horizontal="center" vertical="center"/>
    </xf>
    <xf numFmtId="164" fontId="19" fillId="5" borderId="0" xfId="0" applyNumberFormat="1" applyFont="1" applyFill="1" applyBorder="1" applyAlignment="1">
      <alignment horizontal="center" vertical="center"/>
    </xf>
    <xf numFmtId="2" fontId="0" fillId="5" borderId="0" xfId="0" applyNumberFormat="1" applyFont="1" applyFill="1" applyBorder="1" applyAlignment="1">
      <alignment horizontal="center" vertical="center"/>
    </xf>
    <xf numFmtId="0" fontId="0" fillId="5" borderId="0" xfId="0" applyFont="1" applyFill="1" applyBorder="1" applyAlignment="1">
      <alignment horizontal="center" vertical="center"/>
    </xf>
    <xf numFmtId="1" fontId="0" fillId="5" borderId="0" xfId="0" applyNumberFormat="1" applyFont="1" applyFill="1" applyBorder="1" applyAlignment="1">
      <alignment horizontal="center" vertical="center"/>
    </xf>
    <xf numFmtId="166" fontId="0" fillId="5" borderId="0" xfId="0" applyNumberFormat="1" applyFont="1" applyFill="1" applyBorder="1" applyAlignment="1">
      <alignment horizontal="center" vertical="center"/>
    </xf>
    <xf numFmtId="166" fontId="9" fillId="5" borderId="0" xfId="0" applyNumberFormat="1" applyFont="1" applyFill="1" applyBorder="1" applyAlignment="1">
      <alignment horizontal="center" vertical="center"/>
    </xf>
    <xf numFmtId="168" fontId="23" fillId="5" borderId="0" xfId="0" applyNumberFormat="1" applyFont="1" applyFill="1" applyBorder="1" applyAlignment="1">
      <alignment horizontal="center" vertical="center"/>
    </xf>
    <xf numFmtId="166" fontId="13" fillId="5" borderId="0" xfId="0" applyNumberFormat="1" applyFont="1" applyFill="1" applyBorder="1" applyAlignment="1">
      <alignment horizontal="center" vertical="center"/>
    </xf>
    <xf numFmtId="169" fontId="9" fillId="5" borderId="0" xfId="0" applyNumberFormat="1" applyFont="1" applyFill="1" applyBorder="1" applyAlignment="1">
      <alignment horizontal="center" vertical="center"/>
    </xf>
    <xf numFmtId="0" fontId="8" fillId="2" borderId="0" xfId="0" applyFont="1" applyFill="1" applyBorder="1" applyAlignment="1">
      <alignment vertical="center"/>
    </xf>
    <xf numFmtId="0" fontId="38" fillId="2" borderId="0" xfId="0" applyFont="1" applyFill="1" applyBorder="1" applyAlignment="1">
      <alignment vertical="center"/>
    </xf>
    <xf numFmtId="0" fontId="10" fillId="2" borderId="0" xfId="0" applyFont="1" applyFill="1" applyBorder="1" applyAlignment="1">
      <alignment horizontal="left" vertical="center"/>
    </xf>
    <xf numFmtId="0" fontId="9" fillId="2" borderId="0" xfId="0" applyFont="1" applyFill="1" applyBorder="1" applyAlignment="1">
      <alignment vertical="center"/>
    </xf>
    <xf numFmtId="0" fontId="9" fillId="2" borderId="0" xfId="0" applyFont="1" applyFill="1" applyBorder="1" applyAlignment="1">
      <alignment horizontal="left" vertical="center"/>
    </xf>
    <xf numFmtId="0" fontId="14" fillId="2" borderId="0" xfId="0" applyFont="1" applyFill="1" applyBorder="1" applyAlignment="1">
      <alignment vertical="center"/>
    </xf>
    <xf numFmtId="0" fontId="10" fillId="2" borderId="0" xfId="0" applyFont="1" applyFill="1" applyBorder="1" applyAlignment="1">
      <alignment vertical="center"/>
    </xf>
    <xf numFmtId="0" fontId="14" fillId="2" borderId="0" xfId="0" applyFont="1" applyFill="1" applyBorder="1" applyAlignment="1">
      <alignment horizontal="left" vertical="center"/>
    </xf>
    <xf numFmtId="0" fontId="18" fillId="2" borderId="0" xfId="0" quotePrefix="1" applyFont="1" applyFill="1" applyBorder="1" applyAlignment="1">
      <alignment vertical="center" wrapText="1"/>
    </xf>
    <xf numFmtId="0" fontId="25" fillId="2" borderId="17" xfId="0" applyFont="1" applyFill="1" applyBorder="1" applyAlignment="1">
      <alignment horizontal="center" vertical="center" textRotation="90"/>
    </xf>
    <xf numFmtId="0" fontId="25" fillId="2" borderId="18" xfId="0" applyFont="1" applyFill="1" applyBorder="1" applyAlignment="1">
      <alignment horizontal="center" vertical="center" textRotation="90"/>
    </xf>
    <xf numFmtId="0" fontId="25" fillId="2" borderId="19" xfId="0" applyFont="1" applyFill="1" applyBorder="1" applyAlignment="1">
      <alignment horizontal="center" vertical="center" textRotation="90"/>
    </xf>
    <xf numFmtId="0" fontId="25" fillId="2" borderId="20" xfId="0" applyFont="1" applyFill="1" applyBorder="1" applyAlignment="1">
      <alignment horizontal="center" vertical="center" textRotation="90"/>
    </xf>
    <xf numFmtId="0" fontId="25" fillId="2" borderId="21" xfId="0" applyFont="1" applyFill="1" applyBorder="1" applyAlignment="1">
      <alignment horizontal="center" vertical="center" textRotation="90"/>
    </xf>
    <xf numFmtId="0" fontId="8" fillId="2" borderId="22" xfId="0" applyFont="1" applyFill="1" applyBorder="1" applyAlignment="1">
      <alignment vertical="center"/>
    </xf>
    <xf numFmtId="166" fontId="8" fillId="2" borderId="0" xfId="0" applyNumberFormat="1" applyFont="1" applyFill="1" applyBorder="1" applyAlignment="1">
      <alignment vertical="center"/>
    </xf>
    <xf numFmtId="169" fontId="9" fillId="2" borderId="0" xfId="0" applyNumberFormat="1" applyFont="1" applyFill="1" applyBorder="1" applyAlignment="1">
      <alignment horizontal="center" vertical="center"/>
    </xf>
    <xf numFmtId="166" fontId="8"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26" fillId="2" borderId="0" xfId="0" quotePrefix="1" applyFont="1" applyFill="1" applyBorder="1" applyAlignment="1">
      <alignment vertical="center"/>
    </xf>
    <xf numFmtId="0" fontId="26" fillId="2" borderId="0" xfId="0" applyFont="1" applyFill="1" applyBorder="1" applyAlignment="1">
      <alignment vertical="center"/>
    </xf>
    <xf numFmtId="0" fontId="23" fillId="2" borderId="0" xfId="0" applyFont="1" applyFill="1" applyBorder="1" applyAlignment="1">
      <alignment vertical="center" wrapText="1"/>
    </xf>
    <xf numFmtId="0" fontId="22" fillId="2" borderId="0" xfId="0" applyFont="1" applyFill="1" applyBorder="1" applyAlignment="1">
      <alignment vertical="center"/>
    </xf>
    <xf numFmtId="0" fontId="27" fillId="2" borderId="0" xfId="0" quotePrefix="1" applyFont="1" applyFill="1" applyBorder="1" applyAlignment="1">
      <alignment vertical="center" wrapText="1"/>
    </xf>
    <xf numFmtId="0" fontId="26" fillId="2" borderId="0" xfId="0" applyFont="1" applyFill="1" applyBorder="1" applyAlignment="1">
      <alignment vertical="center" wrapText="1"/>
    </xf>
    <xf numFmtId="2" fontId="0" fillId="2" borderId="0" xfId="0" applyNumberFormat="1" applyFont="1" applyFill="1" applyBorder="1" applyAlignment="1">
      <alignment vertical="center"/>
    </xf>
    <xf numFmtId="166" fontId="0" fillId="2" borderId="0" xfId="0" applyNumberFormat="1" applyFont="1" applyFill="1" applyBorder="1" applyAlignment="1">
      <alignment vertical="center"/>
    </xf>
    <xf numFmtId="0" fontId="20" fillId="2" borderId="0" xfId="0" applyFont="1" applyFill="1" applyBorder="1" applyAlignment="1">
      <alignment vertical="center"/>
    </xf>
    <xf numFmtId="0" fontId="28" fillId="2" borderId="11" xfId="0" applyFont="1" applyFill="1" applyBorder="1" applyAlignment="1">
      <alignment vertical="center"/>
    </xf>
    <xf numFmtId="0" fontId="28" fillId="2" borderId="0" xfId="0" applyFont="1" applyFill="1" applyBorder="1" applyAlignment="1">
      <alignment vertical="center"/>
    </xf>
    <xf numFmtId="0" fontId="28" fillId="2" borderId="1" xfId="0" applyFont="1" applyFill="1" applyBorder="1" applyAlignment="1">
      <alignment vertical="center"/>
    </xf>
    <xf numFmtId="0" fontId="28" fillId="2" borderId="2" xfId="0" applyFont="1" applyFill="1" applyBorder="1" applyAlignment="1">
      <alignment vertical="center"/>
    </xf>
    <xf numFmtId="0" fontId="28" fillId="2" borderId="3" xfId="0" applyFont="1" applyFill="1" applyBorder="1" applyAlignment="1">
      <alignment vertical="center"/>
    </xf>
    <xf numFmtId="0" fontId="28" fillId="2" borderId="4" xfId="0" applyFont="1" applyFill="1" applyBorder="1" applyAlignment="1">
      <alignment vertical="center"/>
    </xf>
    <xf numFmtId="168" fontId="20" fillId="2" borderId="0" xfId="0" applyNumberFormat="1" applyFont="1" applyFill="1" applyBorder="1" applyAlignment="1">
      <alignment vertical="center" textRotation="90" wrapText="1"/>
    </xf>
    <xf numFmtId="166" fontId="22" fillId="2" borderId="0" xfId="0" quotePrefix="1" applyNumberFormat="1" applyFont="1" applyFill="1" applyBorder="1" applyAlignment="1">
      <alignment vertical="center" wrapText="1"/>
    </xf>
    <xf numFmtId="170" fontId="10" fillId="2" borderId="0" xfId="0" applyNumberFormat="1" applyFont="1" applyFill="1" applyBorder="1" applyAlignment="1">
      <alignment vertical="center"/>
    </xf>
    <xf numFmtId="0" fontId="7" fillId="2" borderId="0" xfId="0" applyFont="1" applyFill="1" applyAlignment="1"/>
    <xf numFmtId="0" fontId="6" fillId="2" borderId="0" xfId="0" applyFont="1" applyFill="1" applyAlignment="1"/>
    <xf numFmtId="0" fontId="7" fillId="0" borderId="0" xfId="0" applyFont="1" applyAlignment="1">
      <alignment vertical="center"/>
    </xf>
    <xf numFmtId="0" fontId="14" fillId="0" borderId="0" xfId="0" applyFont="1" applyAlignment="1">
      <alignment vertical="center"/>
    </xf>
    <xf numFmtId="0" fontId="31" fillId="5" borderId="79" xfId="0" applyFont="1" applyFill="1" applyBorder="1" applyAlignment="1">
      <alignment horizontal="center" vertical="center"/>
    </xf>
    <xf numFmtId="169" fontId="9" fillId="5" borderId="80" xfId="0" applyNumberFormat="1" applyFont="1" applyFill="1" applyBorder="1" applyAlignment="1">
      <alignment horizontal="center" vertical="center"/>
    </xf>
    <xf numFmtId="0" fontId="9" fillId="2" borderId="0" xfId="0" applyFont="1" applyFill="1" applyBorder="1" applyAlignment="1">
      <alignment horizontal="left" vertical="center"/>
    </xf>
    <xf numFmtId="0" fontId="57" fillId="2" borderId="0" xfId="0" quotePrefix="1" applyFont="1" applyFill="1" applyBorder="1" applyAlignment="1">
      <alignment vertical="center" wrapText="1"/>
    </xf>
    <xf numFmtId="0" fontId="10" fillId="2" borderId="0" xfId="0" applyFont="1" applyFill="1" applyBorder="1" applyAlignment="1">
      <alignment vertical="center" textRotation="90" wrapText="1"/>
    </xf>
    <xf numFmtId="0" fontId="13" fillId="2" borderId="0" xfId="0" applyFont="1" applyFill="1" applyBorder="1" applyAlignment="1">
      <alignment vertical="center"/>
    </xf>
    <xf numFmtId="0" fontId="20" fillId="2" borderId="0" xfId="0" applyFont="1" applyFill="1" applyBorder="1" applyAlignment="1">
      <alignment vertical="center" textRotation="90" wrapText="1"/>
    </xf>
    <xf numFmtId="0" fontId="51" fillId="2" borderId="0" xfId="0" applyFont="1" applyFill="1" applyBorder="1" applyAlignment="1">
      <alignment vertical="center" textRotation="90" wrapText="1"/>
    </xf>
    <xf numFmtId="0" fontId="20" fillId="2" borderId="0" xfId="0" applyFont="1" applyFill="1" applyBorder="1" applyAlignment="1">
      <alignment vertical="center" wrapText="1"/>
    </xf>
    <xf numFmtId="0" fontId="22" fillId="2" borderId="0" xfId="0" quotePrefix="1" applyFont="1" applyFill="1" applyBorder="1" applyAlignment="1">
      <alignment vertical="center" wrapText="1"/>
    </xf>
    <xf numFmtId="0" fontId="37" fillId="2" borderId="0" xfId="0" quotePrefix="1" applyFont="1" applyFill="1" applyBorder="1" applyAlignment="1">
      <alignment vertical="center" wrapText="1"/>
    </xf>
    <xf numFmtId="0" fontId="29" fillId="2" borderId="0" xfId="0" applyFont="1" applyFill="1" applyBorder="1" applyAlignment="1">
      <alignment vertical="center" wrapText="1"/>
    </xf>
    <xf numFmtId="0" fontId="24" fillId="2" borderId="0" xfId="0" quotePrefix="1" applyFont="1" applyFill="1" applyBorder="1" applyAlignment="1">
      <alignment vertical="center" wrapText="1"/>
    </xf>
    <xf numFmtId="0" fontId="22" fillId="2" borderId="0" xfId="0" applyFont="1" applyFill="1" applyBorder="1" applyAlignment="1">
      <alignment vertical="center" wrapText="1"/>
    </xf>
    <xf numFmtId="2" fontId="19" fillId="2" borderId="0" xfId="0" applyNumberFormat="1" applyFont="1" applyFill="1" applyBorder="1" applyAlignment="1">
      <alignment vertical="center"/>
    </xf>
    <xf numFmtId="164" fontId="19" fillId="2" borderId="0" xfId="0" applyNumberFormat="1" applyFont="1" applyFill="1" applyBorder="1" applyAlignment="1">
      <alignment vertical="center"/>
    </xf>
    <xf numFmtId="1" fontId="0" fillId="2" borderId="0" xfId="0" applyNumberFormat="1" applyFont="1" applyFill="1" applyBorder="1" applyAlignment="1">
      <alignment vertical="center"/>
    </xf>
    <xf numFmtId="166" fontId="9" fillId="2" borderId="0" xfId="0" applyNumberFormat="1" applyFont="1" applyFill="1" applyBorder="1" applyAlignment="1">
      <alignment vertical="center"/>
    </xf>
    <xf numFmtId="168" fontId="9" fillId="2" borderId="0" xfId="0" applyNumberFormat="1" applyFont="1" applyFill="1" applyBorder="1" applyAlignment="1">
      <alignment vertical="center"/>
    </xf>
    <xf numFmtId="166" fontId="13" fillId="2" borderId="0" xfId="0" applyNumberFormat="1" applyFont="1" applyFill="1" applyBorder="1" applyAlignment="1">
      <alignment vertical="center"/>
    </xf>
    <xf numFmtId="0" fontId="10" fillId="2" borderId="0" xfId="0" applyFont="1" applyFill="1" applyBorder="1" applyAlignment="1">
      <alignment vertical="center" wrapText="1"/>
    </xf>
    <xf numFmtId="172" fontId="22" fillId="2" borderId="0" xfId="0" applyNumberFormat="1" applyFont="1" applyFill="1" applyBorder="1" applyAlignment="1">
      <alignment vertical="center"/>
    </xf>
    <xf numFmtId="0" fontId="9" fillId="2" borderId="0" xfId="0" quotePrefix="1" applyFont="1" applyFill="1" applyBorder="1" applyAlignment="1">
      <alignment vertical="center" wrapText="1"/>
    </xf>
    <xf numFmtId="0" fontId="54" fillId="2" borderId="0" xfId="0" applyFont="1" applyFill="1" applyBorder="1" applyAlignment="1">
      <alignment vertical="center"/>
    </xf>
    <xf numFmtId="0" fontId="55" fillId="2" borderId="0" xfId="0" applyFont="1" applyFill="1" applyBorder="1" applyAlignment="1">
      <alignment vertical="center"/>
    </xf>
    <xf numFmtId="1" fontId="8" fillId="2" borderId="0" xfId="0" applyNumberFormat="1" applyFont="1" applyFill="1" applyBorder="1" applyAlignment="1">
      <alignment vertical="center"/>
    </xf>
    <xf numFmtId="0" fontId="18" fillId="2" borderId="0" xfId="0" applyFont="1" applyFill="1" applyBorder="1" applyAlignment="1">
      <alignment vertical="center"/>
    </xf>
    <xf numFmtId="0" fontId="57" fillId="2" borderId="0" xfId="0" applyFont="1" applyFill="1" applyBorder="1" applyAlignment="1">
      <alignment vertical="center" wrapText="1"/>
    </xf>
    <xf numFmtId="0" fontId="48" fillId="2" borderId="0" xfId="0" applyFont="1" applyFill="1" applyBorder="1" applyAlignment="1">
      <alignment vertical="top" wrapText="1"/>
    </xf>
    <xf numFmtId="168" fontId="23" fillId="2" borderId="0" xfId="0" applyNumberFormat="1" applyFont="1" applyFill="1" applyBorder="1" applyAlignment="1">
      <alignment horizontal="center" vertical="center"/>
    </xf>
    <xf numFmtId="166" fontId="13" fillId="2" borderId="0" xfId="0" applyNumberFormat="1" applyFont="1" applyFill="1" applyBorder="1" applyAlignment="1">
      <alignment horizontal="center" vertical="center"/>
    </xf>
    <xf numFmtId="0" fontId="8" fillId="2" borderId="0" xfId="0" applyFont="1" applyFill="1" applyAlignment="1" applyProtection="1">
      <alignment vertical="center"/>
      <protection hidden="1"/>
    </xf>
    <xf numFmtId="0" fontId="56" fillId="2" borderId="0" xfId="0" applyFont="1" applyFill="1" applyBorder="1" applyAlignment="1" applyProtection="1">
      <alignment vertical="center" wrapText="1"/>
      <protection hidden="1"/>
    </xf>
    <xf numFmtId="0" fontId="8" fillId="2" borderId="0" xfId="0" applyFont="1" applyFill="1" applyBorder="1" applyAlignment="1" applyProtection="1">
      <alignment vertical="center"/>
      <protection hidden="1"/>
    </xf>
    <xf numFmtId="0" fontId="18" fillId="2" borderId="0" xfId="0" applyFont="1" applyFill="1" applyBorder="1" applyAlignment="1" applyProtection="1">
      <alignment vertical="center"/>
      <protection hidden="1"/>
    </xf>
    <xf numFmtId="0" fontId="54" fillId="2" borderId="0" xfId="0" applyFont="1" applyFill="1" applyBorder="1" applyAlignment="1" applyProtection="1">
      <alignment vertical="center"/>
      <protection hidden="1"/>
    </xf>
    <xf numFmtId="165" fontId="21" fillId="2" borderId="0" xfId="0" applyNumberFormat="1" applyFont="1" applyFill="1" applyBorder="1" applyAlignment="1" applyProtection="1">
      <alignment vertical="center"/>
      <protection hidden="1"/>
    </xf>
    <xf numFmtId="0" fontId="28" fillId="2" borderId="0" xfId="0" applyFont="1" applyFill="1" applyBorder="1" applyAlignment="1" applyProtection="1">
      <alignment vertical="center"/>
      <protection hidden="1"/>
    </xf>
    <xf numFmtId="166" fontId="8" fillId="2" borderId="0" xfId="0" applyNumberFormat="1" applyFont="1" applyFill="1" applyBorder="1" applyAlignment="1" applyProtection="1">
      <alignment vertical="center"/>
      <protection hidden="1"/>
    </xf>
    <xf numFmtId="0" fontId="55" fillId="2" borderId="0" xfId="0" applyFont="1" applyFill="1" applyBorder="1" applyAlignment="1" applyProtection="1">
      <alignment vertical="center"/>
      <protection hidden="1"/>
    </xf>
    <xf numFmtId="1" fontId="8" fillId="2" borderId="0" xfId="0" applyNumberFormat="1" applyFont="1" applyFill="1" applyBorder="1" applyAlignment="1" applyProtection="1">
      <alignment vertical="center"/>
      <protection hidden="1"/>
    </xf>
    <xf numFmtId="0" fontId="5" fillId="6" borderId="0" xfId="0" applyFont="1" applyFill="1" applyBorder="1" applyAlignment="1" applyProtection="1">
      <alignment vertical="center" wrapText="1"/>
      <protection hidden="1"/>
    </xf>
    <xf numFmtId="0" fontId="5" fillId="6" borderId="37" xfId="0" applyFont="1" applyFill="1" applyBorder="1" applyAlignment="1" applyProtection="1">
      <alignment vertical="center" wrapText="1"/>
      <protection hidden="1"/>
    </xf>
    <xf numFmtId="0" fontId="31" fillId="5" borderId="79" xfId="0"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2" fontId="19" fillId="5" borderId="0" xfId="0" applyNumberFormat="1" applyFont="1" applyFill="1" applyBorder="1" applyAlignment="1" applyProtection="1">
      <alignment horizontal="center" vertical="center"/>
      <protection hidden="1"/>
    </xf>
    <xf numFmtId="1" fontId="32" fillId="5" borderId="0" xfId="0" applyNumberFormat="1" applyFont="1" applyFill="1" applyBorder="1" applyAlignment="1" applyProtection="1">
      <alignment horizontal="center" vertical="center"/>
      <protection hidden="1"/>
    </xf>
    <xf numFmtId="164" fontId="28" fillId="5" borderId="0" xfId="0" applyNumberFormat="1" applyFont="1" applyFill="1" applyBorder="1" applyAlignment="1" applyProtection="1">
      <alignment horizontal="center" vertical="center"/>
      <protection hidden="1"/>
    </xf>
    <xf numFmtId="164" fontId="19" fillId="5" borderId="0" xfId="0" applyNumberFormat="1" applyFont="1" applyFill="1" applyBorder="1" applyAlignment="1" applyProtection="1">
      <alignment horizontal="center" vertical="center"/>
      <protection hidden="1"/>
    </xf>
    <xf numFmtId="2" fontId="0" fillId="5" borderId="0" xfId="0" applyNumberFormat="1"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1" fontId="0" fillId="5" borderId="0" xfId="0" applyNumberFormat="1" applyFont="1" applyFill="1" applyBorder="1" applyAlignment="1" applyProtection="1">
      <alignment horizontal="center" vertical="center"/>
      <protection hidden="1"/>
    </xf>
    <xf numFmtId="166" fontId="0" fillId="5" borderId="0" xfId="0" applyNumberFormat="1" applyFont="1" applyFill="1" applyBorder="1" applyAlignment="1" applyProtection="1">
      <alignment horizontal="center" vertical="center"/>
      <protection hidden="1"/>
    </xf>
    <xf numFmtId="166" fontId="9" fillId="5" borderId="0" xfId="0" applyNumberFormat="1" applyFont="1" applyFill="1" applyBorder="1" applyAlignment="1" applyProtection="1">
      <alignment horizontal="center" vertical="center"/>
      <protection hidden="1"/>
    </xf>
    <xf numFmtId="168" fontId="23" fillId="5" borderId="0" xfId="0" applyNumberFormat="1" applyFont="1" applyFill="1" applyBorder="1" applyAlignment="1" applyProtection="1">
      <alignment horizontal="center" vertical="center"/>
      <protection hidden="1"/>
    </xf>
    <xf numFmtId="0" fontId="69" fillId="0" borderId="0" xfId="0" applyFont="1" applyAlignment="1">
      <alignment horizontal="center"/>
    </xf>
    <xf numFmtId="0" fontId="78" fillId="0" borderId="0" xfId="0" applyFont="1"/>
    <xf numFmtId="0" fontId="79" fillId="0" borderId="0" xfId="0" applyFont="1" applyAlignment="1">
      <alignment vertical="top" wrapText="1"/>
    </xf>
    <xf numFmtId="0" fontId="80" fillId="0" borderId="0" xfId="0" applyFont="1" applyFill="1" applyBorder="1"/>
    <xf numFmtId="0" fontId="80" fillId="0" borderId="3" xfId="0" applyFont="1" applyFill="1" applyBorder="1"/>
    <xf numFmtId="0" fontId="80" fillId="0" borderId="144" xfId="0" applyFont="1" applyFill="1" applyBorder="1"/>
    <xf numFmtId="2" fontId="4" fillId="10" borderId="143" xfId="0" applyNumberFormat="1" applyFont="1" applyFill="1" applyBorder="1" applyAlignment="1" applyProtection="1">
      <alignment horizontal="center"/>
      <protection hidden="1"/>
    </xf>
    <xf numFmtId="0" fontId="4" fillId="9" borderId="142" xfId="0" applyFont="1" applyFill="1" applyBorder="1" applyAlignment="1" applyProtection="1">
      <alignment horizontal="center"/>
      <protection locked="0"/>
    </xf>
    <xf numFmtId="0" fontId="4" fillId="9" borderId="143" xfId="0" applyFont="1" applyFill="1" applyBorder="1" applyAlignment="1" applyProtection="1">
      <alignment horizontal="center"/>
      <protection locked="0"/>
    </xf>
    <xf numFmtId="0" fontId="0" fillId="2" borderId="0" xfId="0" applyFont="1" applyFill="1" applyAlignment="1">
      <alignment vertical="center"/>
    </xf>
    <xf numFmtId="2" fontId="0" fillId="6" borderId="13" xfId="0" applyNumberFormat="1" applyFont="1" applyFill="1" applyBorder="1" applyAlignment="1" applyProtection="1">
      <alignment horizontal="center" vertical="center"/>
      <protection hidden="1"/>
    </xf>
    <xf numFmtId="2" fontId="0" fillId="6" borderId="70" xfId="0" applyNumberFormat="1" applyFont="1" applyFill="1" applyBorder="1" applyAlignment="1" applyProtection="1">
      <alignment horizontal="center" vertical="center"/>
      <protection hidden="1"/>
    </xf>
    <xf numFmtId="2" fontId="0" fillId="6" borderId="36" xfId="0" applyNumberFormat="1" applyFont="1" applyFill="1" applyBorder="1" applyAlignment="1" applyProtection="1">
      <alignment horizontal="center" vertical="center"/>
      <protection hidden="1"/>
    </xf>
    <xf numFmtId="2" fontId="0" fillId="6" borderId="0" xfId="0" applyNumberFormat="1" applyFont="1" applyFill="1" applyBorder="1" applyAlignment="1" applyProtection="1">
      <alignment horizontal="center" vertical="center"/>
      <protection hidden="1"/>
    </xf>
    <xf numFmtId="2" fontId="0" fillId="6" borderId="80" xfId="0" applyNumberFormat="1" applyFont="1" applyFill="1" applyBorder="1" applyAlignment="1" applyProtection="1">
      <alignment horizontal="center" vertical="center"/>
      <protection hidden="1"/>
    </xf>
    <xf numFmtId="1" fontId="19" fillId="3" borderId="0" xfId="0" applyNumberFormat="1" applyFont="1" applyFill="1" applyBorder="1" applyAlignment="1" applyProtection="1">
      <alignment horizontal="center" vertical="center"/>
      <protection locked="0"/>
    </xf>
    <xf numFmtId="0" fontId="84" fillId="0" borderId="0" xfId="0" applyFont="1" applyBorder="1" applyAlignment="1">
      <alignment horizontal="center"/>
    </xf>
    <xf numFmtId="0" fontId="85" fillId="0" borderId="0" xfId="0" applyFont="1" applyBorder="1"/>
    <xf numFmtId="0" fontId="85" fillId="12" borderId="0" xfId="0" applyFont="1" applyFill="1" applyBorder="1"/>
    <xf numFmtId="0" fontId="48" fillId="2" borderId="0" xfId="0" applyFont="1" applyFill="1" applyBorder="1" applyAlignment="1" applyProtection="1">
      <alignment vertical="top" wrapText="1"/>
      <protection hidden="1"/>
    </xf>
    <xf numFmtId="0" fontId="0" fillId="0" borderId="0" xfId="0" applyProtection="1">
      <protection hidden="1"/>
    </xf>
    <xf numFmtId="0" fontId="69" fillId="0" borderId="0" xfId="0" applyFont="1" applyAlignment="1" applyProtection="1">
      <alignment horizontal="center"/>
      <protection hidden="1"/>
    </xf>
    <xf numFmtId="0" fontId="69" fillId="0" borderId="0" xfId="0" applyFont="1" applyProtection="1">
      <protection hidden="1"/>
    </xf>
    <xf numFmtId="0" fontId="0" fillId="0" borderId="0" xfId="0" applyAlignment="1" applyProtection="1">
      <alignment horizontal="left"/>
      <protection hidden="1"/>
    </xf>
    <xf numFmtId="0" fontId="14" fillId="0" borderId="0" xfId="0" applyFont="1" applyProtection="1">
      <protection hidden="1"/>
    </xf>
    <xf numFmtId="0" fontId="76" fillId="0" borderId="0" xfId="0" applyFont="1" applyProtection="1">
      <protection hidden="1"/>
    </xf>
    <xf numFmtId="0" fontId="77" fillId="0" borderId="0" xfId="0" applyFont="1" applyProtection="1">
      <protection hidden="1"/>
    </xf>
    <xf numFmtId="0" fontId="26" fillId="8" borderId="141" xfId="0" applyFont="1" applyFill="1" applyBorder="1" applyAlignment="1" applyProtection="1">
      <alignment horizontal="center" vertical="center" wrapText="1"/>
      <protection hidden="1"/>
    </xf>
    <xf numFmtId="0" fontId="26" fillId="8" borderId="12" xfId="0" applyFont="1" applyFill="1" applyBorder="1" applyAlignment="1" applyProtection="1">
      <alignment horizontal="center" vertical="center"/>
      <protection hidden="1"/>
    </xf>
    <xf numFmtId="2" fontId="39" fillId="10" borderId="143" xfId="0" applyNumberFormat="1" applyFont="1" applyFill="1" applyBorder="1" applyAlignment="1" applyProtection="1">
      <alignment horizontal="center"/>
      <protection hidden="1"/>
    </xf>
    <xf numFmtId="1" fontId="22" fillId="6" borderId="30" xfId="0" applyNumberFormat="1" applyFont="1" applyFill="1" applyBorder="1" applyAlignment="1" applyProtection="1">
      <alignment horizontal="left" vertical="center"/>
      <protection hidden="1"/>
    </xf>
    <xf numFmtId="1" fontId="22" fillId="6" borderId="35" xfId="0" applyNumberFormat="1" applyFont="1" applyFill="1" applyBorder="1" applyAlignment="1" applyProtection="1">
      <alignment horizontal="left" vertical="center"/>
      <protection hidden="1"/>
    </xf>
    <xf numFmtId="175" fontId="10" fillId="6" borderId="34" xfId="0" applyNumberFormat="1" applyFont="1" applyFill="1" applyBorder="1" applyAlignment="1" applyProtection="1">
      <alignment horizontal="right" vertical="center"/>
      <protection hidden="1"/>
    </xf>
    <xf numFmtId="175" fontId="10" fillId="6" borderId="30" xfId="0" applyNumberFormat="1" applyFont="1" applyFill="1" applyBorder="1" applyAlignment="1" applyProtection="1">
      <alignment horizontal="right" vertical="center"/>
      <protection hidden="1"/>
    </xf>
    <xf numFmtId="176" fontId="10" fillId="6" borderId="34" xfId="0" applyNumberFormat="1" applyFont="1" applyFill="1" applyBorder="1" applyAlignment="1" applyProtection="1">
      <alignment horizontal="right" vertical="center"/>
      <protection hidden="1"/>
    </xf>
    <xf numFmtId="176" fontId="10" fillId="6" borderId="30" xfId="0" applyNumberFormat="1" applyFont="1" applyFill="1" applyBorder="1" applyAlignment="1" applyProtection="1">
      <alignment horizontal="right" vertical="center"/>
      <protection hidden="1"/>
    </xf>
    <xf numFmtId="2" fontId="0" fillId="6" borderId="145" xfId="0" applyNumberFormat="1" applyFont="1" applyFill="1" applyBorder="1" applyAlignment="1" applyProtection="1">
      <alignment horizontal="center" vertical="center"/>
      <protection hidden="1"/>
    </xf>
    <xf numFmtId="2" fontId="0" fillId="6" borderId="6" xfId="0" applyNumberFormat="1" applyFont="1" applyFill="1" applyBorder="1" applyAlignment="1" applyProtection="1">
      <alignment horizontal="center" vertical="center"/>
      <protection hidden="1"/>
    </xf>
    <xf numFmtId="2" fontId="0" fillId="6" borderId="7" xfId="0" applyNumberFormat="1" applyFont="1" applyFill="1" applyBorder="1" applyAlignment="1" applyProtection="1">
      <alignment horizontal="center" vertical="center"/>
      <protection hidden="1"/>
    </xf>
    <xf numFmtId="2" fontId="3" fillId="6" borderId="36" xfId="0" applyNumberFormat="1" applyFont="1" applyFill="1" applyBorder="1" applyAlignment="1" applyProtection="1">
      <alignment horizontal="center" vertical="center"/>
      <protection hidden="1"/>
    </xf>
    <xf numFmtId="2" fontId="0" fillId="6" borderId="0" xfId="0" applyNumberFormat="1" applyFont="1" applyFill="1" applyBorder="1" applyAlignment="1" applyProtection="1">
      <alignment horizontal="center" vertical="center"/>
      <protection hidden="1"/>
    </xf>
    <xf numFmtId="2" fontId="0" fillId="6" borderId="37" xfId="0" applyNumberFormat="1" applyFont="1" applyFill="1" applyBorder="1" applyAlignment="1" applyProtection="1">
      <alignment horizontal="center" vertical="center"/>
      <protection hidden="1"/>
    </xf>
    <xf numFmtId="2" fontId="0" fillId="6" borderId="8" xfId="0" applyNumberFormat="1" applyFont="1" applyFill="1" applyBorder="1" applyAlignment="1" applyProtection="1">
      <alignment horizontal="center" vertical="center"/>
      <protection hidden="1"/>
    </xf>
    <xf numFmtId="2" fontId="0" fillId="6" borderId="84" xfId="0" applyNumberFormat="1" applyFont="1" applyFill="1" applyBorder="1" applyAlignment="1" applyProtection="1">
      <alignment horizontal="center" vertical="center"/>
      <protection hidden="1"/>
    </xf>
    <xf numFmtId="0" fontId="18" fillId="6" borderId="146" xfId="0" quotePrefix="1" applyFont="1" applyFill="1" applyBorder="1" applyAlignment="1" applyProtection="1">
      <alignment horizontal="center" vertical="center" wrapText="1"/>
      <protection hidden="1"/>
    </xf>
    <xf numFmtId="0" fontId="18" fillId="6" borderId="90" xfId="0" quotePrefix="1" applyFont="1" applyFill="1" applyBorder="1" applyAlignment="1" applyProtection="1">
      <alignment horizontal="center" vertical="center" wrapText="1"/>
      <protection hidden="1"/>
    </xf>
    <xf numFmtId="0" fontId="18" fillId="6" borderId="91" xfId="0" quotePrefix="1" applyFont="1" applyFill="1" applyBorder="1" applyAlignment="1" applyProtection="1">
      <alignment horizontal="center" vertical="center" wrapText="1"/>
      <protection hidden="1"/>
    </xf>
    <xf numFmtId="0" fontId="9" fillId="6" borderId="63" xfId="0" quotePrefix="1" applyFont="1" applyFill="1" applyBorder="1" applyAlignment="1" applyProtection="1">
      <alignment horizontal="center" vertical="center" wrapText="1"/>
      <protection hidden="1"/>
    </xf>
    <xf numFmtId="0" fontId="9" fillId="6" borderId="26" xfId="0" quotePrefix="1" applyFont="1" applyFill="1" applyBorder="1" applyAlignment="1" applyProtection="1">
      <alignment horizontal="center" vertical="center" wrapText="1"/>
      <protection hidden="1"/>
    </xf>
    <xf numFmtId="0" fontId="9" fillId="6" borderId="76" xfId="0" quotePrefix="1" applyFont="1" applyFill="1" applyBorder="1" applyAlignment="1" applyProtection="1">
      <alignment horizontal="center" vertical="center" wrapText="1"/>
      <protection hidden="1"/>
    </xf>
    <xf numFmtId="2" fontId="0" fillId="6" borderId="118" xfId="0" applyNumberFormat="1" applyFont="1" applyFill="1" applyBorder="1" applyAlignment="1" applyProtection="1">
      <alignment horizontal="center" vertical="center"/>
      <protection hidden="1"/>
    </xf>
    <xf numFmtId="2" fontId="0" fillId="6" borderId="61" xfId="0" applyNumberFormat="1" applyFont="1" applyFill="1" applyBorder="1" applyAlignment="1" applyProtection="1">
      <alignment horizontal="center" vertical="center"/>
      <protection hidden="1"/>
    </xf>
    <xf numFmtId="2" fontId="0" fillId="6" borderId="131" xfId="0" applyNumberFormat="1" applyFont="1" applyFill="1" applyBorder="1" applyAlignment="1" applyProtection="1">
      <alignment horizontal="center" vertical="center"/>
      <protection hidden="1"/>
    </xf>
    <xf numFmtId="2" fontId="0" fillId="6" borderId="60" xfId="0" applyNumberFormat="1" applyFont="1" applyFill="1" applyBorder="1" applyAlignment="1" applyProtection="1">
      <alignment horizontal="center" vertical="center"/>
      <protection hidden="1"/>
    </xf>
    <xf numFmtId="2" fontId="0" fillId="6" borderId="62" xfId="0" applyNumberFormat="1" applyFont="1" applyFill="1" applyBorder="1" applyAlignment="1" applyProtection="1">
      <alignment horizontal="center" vertical="center"/>
      <protection hidden="1"/>
    </xf>
    <xf numFmtId="2" fontId="0" fillId="6" borderId="45" xfId="0" applyNumberFormat="1" applyFont="1" applyFill="1" applyBorder="1" applyAlignment="1" applyProtection="1">
      <alignment horizontal="center" vertical="center"/>
      <protection hidden="1"/>
    </xf>
    <xf numFmtId="0" fontId="19" fillId="3" borderId="81" xfId="0" applyFont="1" applyFill="1" applyBorder="1" applyAlignment="1" applyProtection="1">
      <alignment horizontal="center" vertical="center"/>
      <protection locked="0"/>
    </xf>
    <xf numFmtId="0" fontId="19" fillId="3" borderId="23" xfId="0" applyFont="1" applyFill="1" applyBorder="1" applyAlignment="1" applyProtection="1">
      <alignment horizontal="center" vertical="center"/>
      <protection locked="0"/>
    </xf>
    <xf numFmtId="2" fontId="0" fillId="6" borderId="48" xfId="0" applyNumberFormat="1" applyFont="1" applyFill="1" applyBorder="1" applyAlignment="1" applyProtection="1">
      <alignment horizontal="center" vertical="center"/>
      <protection hidden="1"/>
    </xf>
    <xf numFmtId="2" fontId="19" fillId="3" borderId="0" xfId="0" applyNumberFormat="1" applyFont="1" applyFill="1" applyBorder="1" applyAlignment="1" applyProtection="1">
      <alignment horizontal="center" vertical="center"/>
      <protection locked="0"/>
    </xf>
    <xf numFmtId="1" fontId="19" fillId="3" borderId="0" xfId="0" applyNumberFormat="1" applyFont="1" applyFill="1" applyBorder="1" applyAlignment="1" applyProtection="1">
      <alignment horizontal="center" vertical="center"/>
      <protection locked="0"/>
    </xf>
    <xf numFmtId="1" fontId="19" fillId="3" borderId="37" xfId="0" applyNumberFormat="1" applyFont="1" applyFill="1" applyBorder="1" applyAlignment="1" applyProtection="1">
      <alignment horizontal="center" vertical="center"/>
      <protection locked="0"/>
    </xf>
    <xf numFmtId="2" fontId="0" fillId="6" borderId="5" xfId="0" applyNumberFormat="1" applyFont="1" applyFill="1" applyBorder="1" applyAlignment="1" applyProtection="1">
      <alignment horizontal="center" vertical="center"/>
      <protection hidden="1"/>
    </xf>
    <xf numFmtId="2" fontId="0" fillId="6" borderId="47" xfId="0" applyNumberFormat="1" applyFont="1" applyFill="1" applyBorder="1" applyAlignment="1" applyProtection="1">
      <alignment horizontal="center" vertical="center"/>
      <protection hidden="1"/>
    </xf>
    <xf numFmtId="2" fontId="0" fillId="6" borderId="44" xfId="0" applyNumberFormat="1" applyFont="1" applyFill="1" applyBorder="1" applyAlignment="1" applyProtection="1">
      <alignment horizontal="center" vertical="center"/>
      <protection hidden="1"/>
    </xf>
    <xf numFmtId="164" fontId="19" fillId="6" borderId="5" xfId="0" applyNumberFormat="1" applyFont="1" applyFill="1" applyBorder="1" applyAlignment="1" applyProtection="1">
      <alignment horizontal="center" vertical="center"/>
      <protection hidden="1"/>
    </xf>
    <xf numFmtId="2" fontId="0" fillId="6" borderId="8" xfId="1" applyNumberFormat="1" applyFont="1" applyFill="1" applyBorder="1" applyAlignment="1" applyProtection="1">
      <alignment horizontal="center" vertical="center"/>
      <protection hidden="1"/>
    </xf>
    <xf numFmtId="2" fontId="0" fillId="6" borderId="6" xfId="1" applyNumberFormat="1" applyFont="1" applyFill="1" applyBorder="1" applyAlignment="1" applyProtection="1">
      <alignment horizontal="center" vertical="center"/>
      <protection hidden="1"/>
    </xf>
    <xf numFmtId="2" fontId="0" fillId="6" borderId="7" xfId="1" applyNumberFormat="1" applyFont="1" applyFill="1" applyBorder="1" applyAlignment="1" applyProtection="1">
      <alignment horizontal="center" vertical="center"/>
      <protection hidden="1"/>
    </xf>
    <xf numFmtId="164" fontId="0" fillId="6" borderId="5" xfId="0" applyNumberFormat="1" applyFont="1" applyFill="1" applyBorder="1" applyAlignment="1" applyProtection="1">
      <alignment horizontal="center" vertical="center"/>
      <protection hidden="1"/>
    </xf>
    <xf numFmtId="164" fontId="0" fillId="6" borderId="8" xfId="0" applyNumberFormat="1" applyFont="1" applyFill="1" applyBorder="1" applyAlignment="1" applyProtection="1">
      <alignment horizontal="center" vertical="center"/>
      <protection hidden="1"/>
    </xf>
    <xf numFmtId="164" fontId="0" fillId="6" borderId="6" xfId="0" applyNumberFormat="1" applyFont="1" applyFill="1" applyBorder="1" applyAlignment="1" applyProtection="1">
      <alignment horizontal="center" vertical="center"/>
      <protection hidden="1"/>
    </xf>
    <xf numFmtId="164" fontId="0" fillId="6" borderId="45" xfId="0" applyNumberFormat="1" applyFont="1" applyFill="1" applyBorder="1" applyAlignment="1" applyProtection="1">
      <alignment horizontal="center" vertical="center"/>
      <protection hidden="1"/>
    </xf>
    <xf numFmtId="166" fontId="0" fillId="6" borderId="44" xfId="0" applyNumberFormat="1" applyFont="1" applyFill="1" applyBorder="1" applyAlignment="1" applyProtection="1">
      <alignment horizontal="center" vertical="center"/>
      <protection hidden="1"/>
    </xf>
    <xf numFmtId="166" fontId="0" fillId="6" borderId="5" xfId="0" applyNumberFormat="1" applyFont="1" applyFill="1" applyBorder="1" applyAlignment="1" applyProtection="1">
      <alignment horizontal="center" vertical="center"/>
      <protection hidden="1"/>
    </xf>
    <xf numFmtId="2" fontId="0" fillId="6" borderId="52" xfId="0" applyNumberFormat="1" applyFont="1" applyFill="1" applyBorder="1" applyAlignment="1" applyProtection="1">
      <alignment horizontal="center" vertical="center"/>
      <protection hidden="1"/>
    </xf>
    <xf numFmtId="2" fontId="0" fillId="6" borderId="30" xfId="0" applyNumberFormat="1" applyFont="1" applyFill="1" applyBorder="1" applyAlignment="1" applyProtection="1">
      <alignment horizontal="center" vertical="center"/>
      <protection hidden="1"/>
    </xf>
    <xf numFmtId="2" fontId="0" fillId="6" borderId="35" xfId="0" applyNumberFormat="1" applyFont="1" applyFill="1" applyBorder="1" applyAlignment="1" applyProtection="1">
      <alignment horizontal="center" vertical="center"/>
      <protection hidden="1"/>
    </xf>
    <xf numFmtId="2" fontId="19" fillId="3" borderId="8" xfId="0" applyNumberFormat="1" applyFont="1" applyFill="1" applyBorder="1" applyAlignment="1" applyProtection="1">
      <alignment horizontal="center" vertical="center"/>
      <protection locked="0"/>
    </xf>
    <xf numFmtId="2" fontId="19" fillId="3" borderId="6" xfId="0" applyNumberFormat="1" applyFont="1" applyFill="1" applyBorder="1" applyAlignment="1" applyProtection="1">
      <alignment horizontal="center" vertical="center"/>
      <protection locked="0"/>
    </xf>
    <xf numFmtId="2" fontId="19" fillId="3" borderId="7" xfId="0" applyNumberFormat="1" applyFont="1" applyFill="1" applyBorder="1" applyAlignment="1" applyProtection="1">
      <alignment horizontal="center" vertical="center"/>
      <protection locked="0"/>
    </xf>
    <xf numFmtId="164" fontId="19" fillId="3" borderId="8" xfId="0" applyNumberFormat="1" applyFont="1" applyFill="1" applyBorder="1" applyAlignment="1" applyProtection="1">
      <alignment horizontal="center" vertical="center"/>
      <protection locked="0"/>
    </xf>
    <xf numFmtId="164" fontId="19" fillId="3" borderId="6" xfId="0" applyNumberFormat="1" applyFont="1" applyFill="1" applyBorder="1" applyAlignment="1" applyProtection="1">
      <alignment horizontal="center" vertical="center"/>
      <protection locked="0"/>
    </xf>
    <xf numFmtId="164" fontId="19" fillId="3" borderId="7" xfId="0" applyNumberFormat="1" applyFont="1" applyFill="1" applyBorder="1" applyAlignment="1" applyProtection="1">
      <alignment horizontal="center" vertical="center"/>
      <protection locked="0"/>
    </xf>
    <xf numFmtId="1" fontId="19" fillId="3" borderId="8" xfId="0" applyNumberFormat="1" applyFont="1" applyFill="1" applyBorder="1" applyAlignment="1" applyProtection="1">
      <alignment horizontal="center" vertical="center"/>
      <protection locked="0"/>
    </xf>
    <xf numFmtId="1" fontId="19" fillId="3" borderId="6" xfId="0" applyNumberFormat="1" applyFont="1" applyFill="1" applyBorder="1" applyAlignment="1" applyProtection="1">
      <alignment horizontal="center" vertical="center"/>
      <protection locked="0"/>
    </xf>
    <xf numFmtId="0" fontId="19" fillId="3" borderId="8" xfId="0" applyFont="1" applyFill="1" applyBorder="1" applyAlignment="1" applyProtection="1">
      <alignment horizontal="center" vertical="center"/>
      <protection locked="0"/>
    </xf>
    <xf numFmtId="0" fontId="19" fillId="3" borderId="6" xfId="0" applyFont="1" applyFill="1" applyBorder="1" applyAlignment="1" applyProtection="1">
      <alignment horizontal="center" vertical="center"/>
      <protection locked="0"/>
    </xf>
    <xf numFmtId="1" fontId="19" fillId="3" borderId="5" xfId="0" applyNumberFormat="1" applyFont="1" applyFill="1" applyBorder="1" applyAlignment="1" applyProtection="1">
      <alignment horizontal="center" vertical="center"/>
      <protection locked="0"/>
    </xf>
    <xf numFmtId="0" fontId="9"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13" fillId="6" borderId="74" xfId="0" applyFont="1" applyFill="1" applyBorder="1" applyAlignment="1" applyProtection="1">
      <alignment horizontal="center" vertical="center" wrapText="1"/>
      <protection hidden="1"/>
    </xf>
    <xf numFmtId="0" fontId="13" fillId="6" borderId="49" xfId="0" applyFont="1" applyFill="1" applyBorder="1" applyAlignment="1" applyProtection="1">
      <alignment horizontal="center" vertical="center" wrapText="1"/>
      <protection hidden="1"/>
    </xf>
    <xf numFmtId="2" fontId="0" fillId="6" borderId="51" xfId="0" applyNumberFormat="1" applyFont="1" applyFill="1" applyBorder="1" applyAlignment="1" applyProtection="1">
      <alignment horizontal="center" vertical="center"/>
      <protection hidden="1"/>
    </xf>
    <xf numFmtId="2" fontId="0" fillId="6" borderId="53" xfId="0" applyNumberFormat="1" applyFont="1" applyFill="1" applyBorder="1" applyAlignment="1" applyProtection="1">
      <alignment horizontal="center" vertical="center"/>
      <protection hidden="1"/>
    </xf>
    <xf numFmtId="0" fontId="13" fillId="6" borderId="34" xfId="0" applyFont="1" applyFill="1" applyBorder="1" applyAlignment="1" applyProtection="1">
      <alignment horizontal="center" vertical="center" wrapText="1"/>
      <protection hidden="1"/>
    </xf>
    <xf numFmtId="0" fontId="18" fillId="6" borderId="30" xfId="0" applyFont="1" applyFill="1" applyBorder="1" applyAlignment="1" applyProtection="1">
      <alignment horizontal="center" vertical="center" wrapText="1"/>
      <protection hidden="1"/>
    </xf>
    <xf numFmtId="0" fontId="18" fillId="6" borderId="35" xfId="0" applyFont="1" applyFill="1" applyBorder="1" applyAlignment="1" applyProtection="1">
      <alignment horizontal="center" vertical="center" wrapText="1"/>
      <protection hidden="1"/>
    </xf>
    <xf numFmtId="0" fontId="18" fillId="6" borderId="36" xfId="0" applyFont="1" applyFill="1" applyBorder="1" applyAlignment="1" applyProtection="1">
      <alignment horizontal="center" vertical="center" wrapText="1"/>
      <protection hidden="1"/>
    </xf>
    <xf numFmtId="0" fontId="18" fillId="6" borderId="0" xfId="0" applyFont="1" applyFill="1" applyBorder="1" applyAlignment="1" applyProtection="1">
      <alignment horizontal="center" vertical="center" wrapText="1"/>
      <protection hidden="1"/>
    </xf>
    <xf numFmtId="0" fontId="18" fillId="6" borderId="37" xfId="0" applyFont="1" applyFill="1" applyBorder="1" applyAlignment="1" applyProtection="1">
      <alignment horizontal="center" vertical="center" wrapText="1"/>
      <protection hidden="1"/>
    </xf>
    <xf numFmtId="2" fontId="8" fillId="2" borderId="0" xfId="0" applyNumberFormat="1" applyFont="1" applyFill="1" applyAlignment="1">
      <alignment horizontal="center" vertical="center"/>
    </xf>
    <xf numFmtId="2" fontId="8" fillId="2" borderId="1" xfId="0" applyNumberFormat="1" applyFont="1" applyFill="1" applyBorder="1" applyAlignment="1">
      <alignment horizontal="center" vertical="center"/>
    </xf>
    <xf numFmtId="0" fontId="10" fillId="6" borderId="34" xfId="0" applyFont="1" applyFill="1" applyBorder="1" applyAlignment="1" applyProtection="1">
      <alignment horizontal="center" vertical="center" wrapText="1"/>
      <protection hidden="1"/>
    </xf>
    <xf numFmtId="0" fontId="10" fillId="6" borderId="30" xfId="0" applyFont="1" applyFill="1" applyBorder="1" applyAlignment="1" applyProtection="1">
      <alignment horizontal="center" vertical="center" wrapText="1"/>
      <protection hidden="1"/>
    </xf>
    <xf numFmtId="0" fontId="10" fillId="6" borderId="50" xfId="0" applyFont="1" applyFill="1" applyBorder="1" applyAlignment="1" applyProtection="1">
      <alignment horizontal="center" vertical="center" wrapText="1"/>
      <protection hidden="1"/>
    </xf>
    <xf numFmtId="0" fontId="10" fillId="6" borderId="36" xfId="0" applyFont="1" applyFill="1" applyBorder="1" applyAlignment="1" applyProtection="1">
      <alignment horizontal="center" vertical="center" wrapText="1"/>
      <protection hidden="1"/>
    </xf>
    <xf numFmtId="0" fontId="10" fillId="6" borderId="0" xfId="0" applyFont="1" applyFill="1" applyBorder="1" applyAlignment="1" applyProtection="1">
      <alignment horizontal="center" vertical="center" wrapText="1"/>
      <protection hidden="1"/>
    </xf>
    <xf numFmtId="0" fontId="10" fillId="6" borderId="12" xfId="0" applyFont="1" applyFill="1" applyBorder="1" applyAlignment="1" applyProtection="1">
      <alignment horizontal="center" vertical="center" wrapText="1"/>
      <protection hidden="1"/>
    </xf>
    <xf numFmtId="0" fontId="22" fillId="6" borderId="36" xfId="0" quotePrefix="1" applyFont="1" applyFill="1" applyBorder="1" applyAlignment="1" applyProtection="1">
      <alignment horizontal="center" vertical="center" wrapText="1"/>
      <protection hidden="1"/>
    </xf>
    <xf numFmtId="0" fontId="22" fillId="6" borderId="0" xfId="0" quotePrefix="1" applyFont="1" applyFill="1" applyBorder="1" applyAlignment="1" applyProtection="1">
      <alignment horizontal="center" vertical="center" wrapText="1"/>
      <protection hidden="1"/>
    </xf>
    <xf numFmtId="0" fontId="10" fillId="6" borderId="9" xfId="0" applyFont="1" applyFill="1" applyBorder="1" applyAlignment="1" applyProtection="1">
      <alignment horizontal="center" vertical="center" wrapText="1"/>
      <protection hidden="1"/>
    </xf>
    <xf numFmtId="0" fontId="22" fillId="6" borderId="25" xfId="0" quotePrefix="1" applyFont="1" applyFill="1" applyBorder="1" applyAlignment="1" applyProtection="1">
      <alignment horizontal="center" vertical="center" wrapText="1"/>
      <protection hidden="1"/>
    </xf>
    <xf numFmtId="0" fontId="22" fillId="6" borderId="23" xfId="0" quotePrefix="1" applyFont="1" applyFill="1" applyBorder="1" applyAlignment="1" applyProtection="1">
      <alignment horizontal="center" vertical="center" wrapText="1"/>
      <protection hidden="1"/>
    </xf>
    <xf numFmtId="0" fontId="8" fillId="2" borderId="0" xfId="0" applyFont="1" applyFill="1" applyAlignment="1">
      <alignment horizontal="center" vertical="center"/>
    </xf>
    <xf numFmtId="0" fontId="8" fillId="2" borderId="1" xfId="0" applyFont="1" applyFill="1" applyBorder="1" applyAlignment="1">
      <alignment horizontal="center" vertical="center"/>
    </xf>
    <xf numFmtId="2" fontId="0" fillId="6" borderId="50" xfId="0" applyNumberFormat="1" applyFont="1" applyFill="1" applyBorder="1" applyAlignment="1" applyProtection="1">
      <alignment horizontal="center" vertical="center"/>
      <protection hidden="1"/>
    </xf>
    <xf numFmtId="0" fontId="18" fillId="6" borderId="54" xfId="0" applyFont="1" applyFill="1" applyBorder="1" applyAlignment="1" applyProtection="1">
      <alignment horizontal="center" vertical="center"/>
      <protection hidden="1"/>
    </xf>
    <xf numFmtId="0" fontId="18" fillId="6" borderId="51" xfId="0" applyFont="1" applyFill="1" applyBorder="1" applyAlignment="1" applyProtection="1">
      <alignment horizontal="center" vertical="center"/>
      <protection hidden="1"/>
    </xf>
    <xf numFmtId="0" fontId="18" fillId="6" borderId="46" xfId="0" applyFont="1" applyFill="1" applyBorder="1" applyAlignment="1" applyProtection="1">
      <alignment horizontal="center" vertical="center"/>
      <protection hidden="1"/>
    </xf>
    <xf numFmtId="0" fontId="18" fillId="6" borderId="10" xfId="0" applyFont="1" applyFill="1" applyBorder="1" applyAlignment="1" applyProtection="1">
      <alignment horizontal="center" vertical="center"/>
      <protection hidden="1"/>
    </xf>
    <xf numFmtId="0" fontId="24" fillId="6" borderId="25" xfId="0" quotePrefix="1" applyFont="1" applyFill="1" applyBorder="1" applyAlignment="1" applyProtection="1">
      <alignment horizontal="center" vertical="center"/>
      <protection hidden="1"/>
    </xf>
    <xf numFmtId="0" fontId="24" fillId="6" borderId="23" xfId="0" applyFont="1" applyFill="1" applyBorder="1" applyAlignment="1" applyProtection="1">
      <alignment horizontal="center" vertical="center"/>
      <protection hidden="1"/>
    </xf>
    <xf numFmtId="0" fontId="24" fillId="6" borderId="40" xfId="0" applyFont="1" applyFill="1" applyBorder="1" applyAlignment="1" applyProtection="1">
      <alignment horizontal="center" vertical="center"/>
      <protection hidden="1"/>
    </xf>
    <xf numFmtId="0" fontId="13" fillId="6" borderId="50" xfId="0" applyFont="1" applyFill="1" applyBorder="1" applyAlignment="1" applyProtection="1">
      <alignment horizontal="center" vertical="center"/>
      <protection hidden="1"/>
    </xf>
    <xf numFmtId="0" fontId="18" fillId="6" borderId="12" xfId="0" applyFont="1" applyFill="1" applyBorder="1" applyAlignment="1" applyProtection="1">
      <alignment horizontal="center" vertical="center"/>
      <protection hidden="1"/>
    </xf>
    <xf numFmtId="0" fontId="18" fillId="6" borderId="54" xfId="0" applyFont="1" applyFill="1" applyBorder="1" applyAlignment="1" applyProtection="1">
      <alignment horizontal="center" vertical="center" textRotation="90"/>
      <protection hidden="1"/>
    </xf>
    <xf numFmtId="0" fontId="18" fillId="6" borderId="51" xfId="0" applyFont="1" applyFill="1" applyBorder="1" applyAlignment="1" applyProtection="1">
      <alignment horizontal="center" vertical="center" textRotation="90"/>
      <protection hidden="1"/>
    </xf>
    <xf numFmtId="0" fontId="18" fillId="6" borderId="46" xfId="0" applyFont="1" applyFill="1" applyBorder="1" applyAlignment="1" applyProtection="1">
      <alignment horizontal="center" vertical="center" textRotation="90"/>
      <protection hidden="1"/>
    </xf>
    <xf numFmtId="0" fontId="18" fillId="6" borderId="10" xfId="0" applyFont="1" applyFill="1" applyBorder="1" applyAlignment="1" applyProtection="1">
      <alignment horizontal="center" vertical="center" textRotation="90"/>
      <protection hidden="1"/>
    </xf>
    <xf numFmtId="0" fontId="10" fillId="6" borderId="52" xfId="0" applyFont="1" applyFill="1" applyBorder="1" applyAlignment="1" applyProtection="1">
      <alignment horizontal="center" vertical="center" wrapText="1"/>
      <protection hidden="1"/>
    </xf>
    <xf numFmtId="0" fontId="22" fillId="6" borderId="24" xfId="0" quotePrefix="1" applyFont="1" applyFill="1" applyBorder="1" applyAlignment="1" applyProtection="1">
      <alignment horizontal="center" vertical="center" wrapText="1"/>
      <protection hidden="1"/>
    </xf>
    <xf numFmtId="0" fontId="22" fillId="6" borderId="9" xfId="0" quotePrefix="1" applyFont="1" applyFill="1" applyBorder="1" applyAlignment="1" applyProtection="1">
      <alignment horizontal="center" vertical="center" wrapText="1"/>
      <protection hidden="1"/>
    </xf>
    <xf numFmtId="0" fontId="22" fillId="6" borderId="12" xfId="0" quotePrefix="1" applyFont="1" applyFill="1" applyBorder="1" applyAlignment="1" applyProtection="1">
      <alignment horizontal="center" vertical="center" wrapText="1"/>
      <protection hidden="1"/>
    </xf>
    <xf numFmtId="2" fontId="0" fillId="6" borderId="78" xfId="0" applyNumberFormat="1" applyFont="1" applyFill="1" applyBorder="1" applyAlignment="1" applyProtection="1">
      <alignment horizontal="center" vertical="center"/>
      <protection hidden="1"/>
    </xf>
    <xf numFmtId="0" fontId="22" fillId="6" borderId="38" xfId="0" quotePrefix="1" applyFont="1" applyFill="1" applyBorder="1" applyAlignment="1" applyProtection="1">
      <alignment horizontal="center" vertical="center" wrapText="1"/>
      <protection hidden="1"/>
    </xf>
    <xf numFmtId="0" fontId="22" fillId="6" borderId="23" xfId="0" applyFont="1" applyFill="1" applyBorder="1" applyAlignment="1" applyProtection="1">
      <alignment horizontal="center" vertical="center" wrapText="1"/>
      <protection hidden="1"/>
    </xf>
    <xf numFmtId="0" fontId="22" fillId="6" borderId="40" xfId="0" applyFont="1" applyFill="1" applyBorder="1" applyAlignment="1" applyProtection="1">
      <alignment horizontal="center" vertical="center" wrapText="1"/>
      <protection hidden="1"/>
    </xf>
    <xf numFmtId="0" fontId="10" fillId="6" borderId="36" xfId="0" applyFont="1" applyFill="1" applyBorder="1" applyAlignment="1" applyProtection="1">
      <alignment horizontal="center" vertical="center" textRotation="90" wrapText="1"/>
      <protection hidden="1"/>
    </xf>
    <xf numFmtId="0" fontId="10" fillId="6" borderId="0" xfId="0" applyFont="1" applyFill="1" applyBorder="1" applyAlignment="1" applyProtection="1">
      <alignment horizontal="center" vertical="center" textRotation="90" wrapText="1"/>
      <protection hidden="1"/>
    </xf>
    <xf numFmtId="0" fontId="18" fillId="6" borderId="74" xfId="0" applyFont="1" applyFill="1" applyBorder="1" applyAlignment="1" applyProtection="1">
      <alignment horizontal="center" vertical="center" wrapText="1"/>
      <protection hidden="1"/>
    </xf>
    <xf numFmtId="0" fontId="18" fillId="6" borderId="49" xfId="0" applyFont="1" applyFill="1" applyBorder="1" applyAlignment="1" applyProtection="1">
      <alignment horizontal="center" vertical="center" wrapText="1"/>
      <protection hidden="1"/>
    </xf>
    <xf numFmtId="166" fontId="22" fillId="6" borderId="9" xfId="0" quotePrefix="1" applyNumberFormat="1" applyFont="1" applyFill="1" applyBorder="1" applyAlignment="1" applyProtection="1">
      <alignment horizontal="center" vertical="center" wrapText="1"/>
      <protection hidden="1"/>
    </xf>
    <xf numFmtId="166" fontId="22" fillId="6" borderId="0" xfId="0" quotePrefix="1" applyNumberFormat="1" applyFont="1" applyFill="1" applyBorder="1" applyAlignment="1" applyProtection="1">
      <alignment horizontal="center" vertical="center" wrapText="1"/>
      <protection hidden="1"/>
    </xf>
    <xf numFmtId="166" fontId="22" fillId="6" borderId="80" xfId="0" quotePrefix="1" applyNumberFormat="1" applyFont="1" applyFill="1" applyBorder="1" applyAlignment="1" applyProtection="1">
      <alignment horizontal="center" vertical="center" wrapText="1"/>
      <protection hidden="1"/>
    </xf>
    <xf numFmtId="0" fontId="9" fillId="2" borderId="0" xfId="0" applyFont="1" applyFill="1" applyBorder="1" applyAlignment="1">
      <alignment horizontal="left" vertical="center"/>
    </xf>
    <xf numFmtId="0" fontId="17"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8" fillId="6" borderId="63" xfId="0" quotePrefix="1" applyFont="1" applyFill="1" applyBorder="1" applyAlignment="1" applyProtection="1">
      <alignment horizontal="center" vertical="center" wrapText="1"/>
      <protection hidden="1"/>
    </xf>
    <xf numFmtId="0" fontId="18" fillId="6" borderId="26" xfId="0" quotePrefix="1" applyFont="1" applyFill="1" applyBorder="1" applyAlignment="1" applyProtection="1">
      <alignment horizontal="center" vertical="center" wrapText="1"/>
      <protection hidden="1"/>
    </xf>
    <xf numFmtId="0" fontId="18" fillId="6" borderId="64" xfId="0" quotePrefix="1" applyFont="1" applyFill="1" applyBorder="1" applyAlignment="1" applyProtection="1">
      <alignment horizontal="center" vertical="center" wrapText="1"/>
      <protection hidden="1"/>
    </xf>
    <xf numFmtId="168" fontId="20" fillId="6" borderId="9" xfId="0" applyNumberFormat="1" applyFont="1" applyFill="1" applyBorder="1" applyAlignment="1" applyProtection="1">
      <alignment horizontal="center" vertical="center" textRotation="90" wrapText="1"/>
      <protection hidden="1"/>
    </xf>
    <xf numFmtId="168" fontId="20" fillId="6" borderId="0" xfId="0" applyNumberFormat="1" applyFont="1" applyFill="1" applyBorder="1" applyAlignment="1" applyProtection="1">
      <alignment horizontal="center" vertical="center" textRotation="90" wrapText="1"/>
      <protection hidden="1"/>
    </xf>
    <xf numFmtId="168" fontId="20" fillId="6" borderId="37" xfId="0" applyNumberFormat="1" applyFont="1" applyFill="1" applyBorder="1" applyAlignment="1" applyProtection="1">
      <alignment horizontal="center" vertical="center" textRotation="90" wrapText="1"/>
      <protection hidden="1"/>
    </xf>
    <xf numFmtId="166" fontId="22" fillId="6" borderId="25" xfId="0" quotePrefix="1" applyNumberFormat="1" applyFont="1" applyFill="1" applyBorder="1" applyAlignment="1" applyProtection="1">
      <alignment horizontal="center" vertical="center" wrapText="1"/>
      <protection hidden="1"/>
    </xf>
    <xf numFmtId="166" fontId="22" fillId="6" borderId="23" xfId="0" quotePrefix="1" applyNumberFormat="1" applyFont="1" applyFill="1" applyBorder="1" applyAlignment="1" applyProtection="1">
      <alignment horizontal="center" vertical="center" wrapText="1"/>
      <protection hidden="1"/>
    </xf>
    <xf numFmtId="166" fontId="22" fillId="6" borderId="40" xfId="0" quotePrefix="1" applyNumberFormat="1" applyFont="1" applyFill="1" applyBorder="1" applyAlignment="1" applyProtection="1">
      <alignment horizontal="center" vertical="center" wrapText="1"/>
      <protection hidden="1"/>
    </xf>
    <xf numFmtId="0" fontId="13" fillId="6" borderId="51"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168" fontId="20" fillId="6" borderId="52" xfId="0" applyNumberFormat="1" applyFont="1" applyFill="1" applyBorder="1" applyAlignment="1" applyProtection="1">
      <alignment horizontal="center" vertical="center" textRotation="90" wrapText="1"/>
      <protection hidden="1"/>
    </xf>
    <xf numFmtId="168" fontId="20" fillId="6" borderId="30" xfId="0" applyNumberFormat="1" applyFont="1" applyFill="1" applyBorder="1" applyAlignment="1" applyProtection="1">
      <alignment horizontal="center" vertical="center" textRotation="90" wrapText="1"/>
      <protection hidden="1"/>
    </xf>
    <xf numFmtId="168" fontId="20" fillId="6" borderId="78" xfId="0" applyNumberFormat="1" applyFont="1" applyFill="1" applyBorder="1" applyAlignment="1" applyProtection="1">
      <alignment horizontal="center" vertical="center" textRotation="90" wrapText="1"/>
      <protection hidden="1"/>
    </xf>
    <xf numFmtId="168" fontId="20" fillId="6" borderId="80" xfId="0" applyNumberFormat="1" applyFont="1" applyFill="1" applyBorder="1" applyAlignment="1" applyProtection="1">
      <alignment horizontal="center" vertical="center" textRotation="90" wrapText="1"/>
      <protection hidden="1"/>
    </xf>
    <xf numFmtId="0" fontId="22" fillId="6" borderId="23" xfId="0" quotePrefix="1" applyFont="1" applyFill="1" applyBorder="1" applyAlignment="1" applyProtection="1">
      <alignment horizontal="center" vertical="center"/>
      <protection hidden="1"/>
    </xf>
    <xf numFmtId="0" fontId="22" fillId="6" borderId="23" xfId="0" applyFont="1" applyFill="1" applyBorder="1" applyAlignment="1" applyProtection="1">
      <alignment horizontal="center" vertical="center"/>
      <protection hidden="1"/>
    </xf>
    <xf numFmtId="0" fontId="22" fillId="6" borderId="24" xfId="0" applyFont="1" applyFill="1" applyBorder="1" applyAlignment="1" applyProtection="1">
      <alignment horizontal="center" vertical="center"/>
      <protection hidden="1"/>
    </xf>
    <xf numFmtId="0" fontId="24" fillId="6" borderId="9" xfId="0" quotePrefix="1" applyFont="1" applyFill="1" applyBorder="1" applyAlignment="1" applyProtection="1">
      <alignment horizontal="center" vertical="center" wrapText="1"/>
      <protection hidden="1"/>
    </xf>
    <xf numFmtId="0" fontId="22" fillId="6" borderId="0" xfId="0" applyFont="1" applyFill="1" applyBorder="1" applyAlignment="1" applyProtection="1">
      <alignment horizontal="center" vertical="center" wrapText="1"/>
      <protection hidden="1"/>
    </xf>
    <xf numFmtId="0" fontId="22" fillId="6" borderId="37" xfId="0" applyFont="1" applyFill="1" applyBorder="1" applyAlignment="1" applyProtection="1">
      <alignment horizontal="center" vertical="center" wrapText="1"/>
      <protection hidden="1"/>
    </xf>
    <xf numFmtId="0" fontId="10" fillId="6" borderId="51" xfId="0" applyFont="1" applyFill="1" applyBorder="1" applyAlignment="1" applyProtection="1">
      <alignment horizontal="center" vertical="center" textRotation="90" wrapText="1"/>
      <protection hidden="1"/>
    </xf>
    <xf numFmtId="0" fontId="10" fillId="6" borderId="10" xfId="0" applyFont="1" applyFill="1" applyBorder="1" applyAlignment="1" applyProtection="1">
      <alignment horizontal="center" vertical="center" textRotation="90" wrapText="1"/>
      <protection hidden="1"/>
    </xf>
    <xf numFmtId="0" fontId="44" fillId="6" borderId="51" xfId="0" applyFont="1" applyFill="1" applyBorder="1" applyAlignment="1" applyProtection="1">
      <alignment horizontal="center" vertical="center" textRotation="90"/>
      <protection hidden="1"/>
    </xf>
    <xf numFmtId="0" fontId="44" fillId="6" borderId="53" xfId="0" applyFont="1" applyFill="1" applyBorder="1" applyAlignment="1" applyProtection="1">
      <alignment horizontal="center" vertical="center" textRotation="90"/>
      <protection hidden="1"/>
    </xf>
    <xf numFmtId="0" fontId="44" fillId="6" borderId="10" xfId="0" applyFont="1" applyFill="1" applyBorder="1" applyAlignment="1" applyProtection="1">
      <alignment horizontal="center" vertical="center" textRotation="90"/>
      <protection hidden="1"/>
    </xf>
    <xf numFmtId="0" fontId="44" fillId="6" borderId="43" xfId="0" applyFont="1" applyFill="1" applyBorder="1" applyAlignment="1" applyProtection="1">
      <alignment horizontal="center" vertical="center" textRotation="90"/>
      <protection hidden="1"/>
    </xf>
    <xf numFmtId="166" fontId="0" fillId="6" borderId="50" xfId="0" applyNumberFormat="1" applyFont="1" applyFill="1" applyBorder="1" applyAlignment="1" applyProtection="1">
      <alignment horizontal="center" vertical="center"/>
      <protection hidden="1"/>
    </xf>
    <xf numFmtId="166" fontId="0" fillId="6" borderId="51" xfId="0" applyNumberFormat="1" applyFont="1" applyFill="1" applyBorder="1" applyAlignment="1" applyProtection="1">
      <alignment horizontal="center" vertical="center"/>
      <protection hidden="1"/>
    </xf>
    <xf numFmtId="2" fontId="0" fillId="6" borderId="34" xfId="0" applyNumberFormat="1" applyFont="1" applyFill="1" applyBorder="1" applyAlignment="1" applyProtection="1">
      <alignment horizontal="center" vertical="center"/>
      <protection hidden="1"/>
    </xf>
    <xf numFmtId="0" fontId="44" fillId="6" borderId="51" xfId="0" applyFont="1" applyFill="1" applyBorder="1" applyAlignment="1" applyProtection="1">
      <alignment horizontal="center" vertical="center"/>
      <protection hidden="1"/>
    </xf>
    <xf numFmtId="0" fontId="44" fillId="6" borderId="53" xfId="0" applyFont="1" applyFill="1" applyBorder="1" applyAlignment="1" applyProtection="1">
      <alignment horizontal="center" vertical="center"/>
      <protection hidden="1"/>
    </xf>
    <xf numFmtId="0" fontId="44" fillId="6" borderId="10" xfId="0" applyFont="1" applyFill="1" applyBorder="1" applyAlignment="1" applyProtection="1">
      <alignment horizontal="center" vertical="center"/>
      <protection hidden="1"/>
    </xf>
    <xf numFmtId="0" fontId="44" fillId="6" borderId="43" xfId="0" applyFont="1" applyFill="1" applyBorder="1" applyAlignment="1" applyProtection="1">
      <alignment horizontal="center" vertical="center"/>
      <protection hidden="1"/>
    </xf>
    <xf numFmtId="0" fontId="24" fillId="6" borderId="9" xfId="0" quotePrefix="1" applyFont="1" applyFill="1" applyBorder="1" applyAlignment="1" applyProtection="1">
      <alignment horizontal="center" vertical="center"/>
      <protection hidden="1"/>
    </xf>
    <xf numFmtId="0" fontId="22" fillId="6" borderId="0" xfId="0" applyFont="1" applyFill="1" applyBorder="1" applyAlignment="1" applyProtection="1">
      <alignment horizontal="center" vertical="center"/>
      <protection hidden="1"/>
    </xf>
    <xf numFmtId="0" fontId="22" fillId="6" borderId="12" xfId="0" applyFont="1" applyFill="1" applyBorder="1" applyAlignment="1" applyProtection="1">
      <alignment horizontal="center" vertical="center"/>
      <protection hidden="1"/>
    </xf>
    <xf numFmtId="0" fontId="22" fillId="6" borderId="12" xfId="0" applyFont="1" applyFill="1" applyBorder="1" applyAlignment="1" applyProtection="1">
      <alignment horizontal="center" vertical="center" wrapText="1"/>
      <protection hidden="1"/>
    </xf>
    <xf numFmtId="0" fontId="22" fillId="6" borderId="55" xfId="0" quotePrefix="1" applyFont="1" applyFill="1" applyBorder="1" applyAlignment="1" applyProtection="1">
      <alignment horizontal="center" vertical="center"/>
      <protection hidden="1"/>
    </xf>
    <xf numFmtId="0" fontId="22" fillId="6" borderId="56" xfId="0" applyFont="1" applyFill="1" applyBorder="1" applyAlignment="1" applyProtection="1">
      <alignment horizontal="center" vertical="center"/>
      <protection hidden="1"/>
    </xf>
    <xf numFmtId="0" fontId="24" fillId="6" borderId="56" xfId="0" quotePrefix="1" applyFont="1" applyFill="1" applyBorder="1" applyAlignment="1" applyProtection="1">
      <alignment horizontal="center" vertical="center"/>
      <protection hidden="1"/>
    </xf>
    <xf numFmtId="0" fontId="24" fillId="6" borderId="56" xfId="0" applyFont="1" applyFill="1" applyBorder="1" applyAlignment="1" applyProtection="1">
      <alignment horizontal="center" vertical="center"/>
      <protection hidden="1"/>
    </xf>
    <xf numFmtId="0" fontId="24" fillId="6" borderId="57" xfId="0" applyFont="1" applyFill="1" applyBorder="1" applyAlignment="1" applyProtection="1">
      <alignment horizontal="center" vertical="center"/>
      <protection hidden="1"/>
    </xf>
    <xf numFmtId="2" fontId="0" fillId="6" borderId="54" xfId="0" applyNumberFormat="1" applyFont="1" applyFill="1" applyBorder="1" applyAlignment="1" applyProtection="1">
      <alignment horizontal="center" vertical="center"/>
      <protection hidden="1"/>
    </xf>
    <xf numFmtId="0" fontId="19" fillId="3" borderId="83" xfId="0" applyFont="1" applyFill="1" applyBorder="1" applyAlignment="1" applyProtection="1">
      <alignment horizontal="center" vertical="center"/>
      <protection locked="0"/>
    </xf>
    <xf numFmtId="0" fontId="19" fillId="3" borderId="5" xfId="0" applyFont="1" applyFill="1" applyBorder="1" applyAlignment="1" applyProtection="1">
      <alignment horizontal="center" vertical="center"/>
      <protection locked="0"/>
    </xf>
    <xf numFmtId="164" fontId="19" fillId="6" borderId="44" xfId="0" applyNumberFormat="1" applyFont="1" applyFill="1" applyBorder="1" applyAlignment="1" applyProtection="1">
      <alignment horizontal="center" vertical="center"/>
      <protection hidden="1"/>
    </xf>
    <xf numFmtId="2" fontId="19" fillId="3" borderId="16" xfId="0" applyNumberFormat="1" applyFont="1" applyFill="1" applyBorder="1" applyAlignment="1" applyProtection="1">
      <alignment horizontal="center" vertical="center"/>
      <protection locked="0"/>
    </xf>
    <xf numFmtId="2" fontId="19" fillId="3" borderId="13" xfId="0" applyNumberFormat="1" applyFont="1" applyFill="1" applyBorder="1" applyAlignment="1" applyProtection="1">
      <alignment horizontal="center" vertical="center"/>
      <protection locked="0"/>
    </xf>
    <xf numFmtId="2" fontId="19" fillId="3" borderId="14" xfId="0" applyNumberFormat="1" applyFont="1" applyFill="1" applyBorder="1" applyAlignment="1" applyProtection="1">
      <alignment horizontal="center" vertical="center"/>
      <protection locked="0"/>
    </xf>
    <xf numFmtId="0" fontId="19" fillId="3" borderId="85" xfId="0" applyFont="1" applyFill="1" applyBorder="1" applyAlignment="1" applyProtection="1">
      <alignment horizontal="center" vertical="center"/>
      <protection locked="0"/>
    </xf>
    <xf numFmtId="0" fontId="19" fillId="3" borderId="15" xfId="0" applyFont="1" applyFill="1" applyBorder="1" applyAlignment="1" applyProtection="1">
      <alignment horizontal="center" vertical="center"/>
      <protection locked="0"/>
    </xf>
    <xf numFmtId="1" fontId="19" fillId="3" borderId="15" xfId="0" applyNumberFormat="1" applyFont="1" applyFill="1" applyBorder="1" applyAlignment="1" applyProtection="1">
      <alignment horizontal="center" vertical="center"/>
      <protection locked="0"/>
    </xf>
    <xf numFmtId="164" fontId="19" fillId="3" borderId="16" xfId="0" applyNumberFormat="1" applyFont="1" applyFill="1" applyBorder="1" applyAlignment="1" applyProtection="1">
      <alignment horizontal="center" vertical="center"/>
      <protection locked="0"/>
    </xf>
    <xf numFmtId="164" fontId="19" fillId="3" borderId="13" xfId="0" applyNumberFormat="1" applyFont="1" applyFill="1" applyBorder="1" applyAlignment="1" applyProtection="1">
      <alignment horizontal="center" vertical="center"/>
      <protection locked="0"/>
    </xf>
    <xf numFmtId="164" fontId="19" fillId="3" borderId="14" xfId="0" applyNumberFormat="1" applyFont="1" applyFill="1" applyBorder="1" applyAlignment="1" applyProtection="1">
      <alignment horizontal="center" vertical="center"/>
      <protection locked="0"/>
    </xf>
    <xf numFmtId="2" fontId="0" fillId="6" borderId="15" xfId="0" applyNumberFormat="1" applyFont="1" applyFill="1" applyBorder="1" applyAlignment="1" applyProtection="1">
      <alignment horizontal="center" vertical="center"/>
      <protection hidden="1"/>
    </xf>
    <xf numFmtId="1" fontId="0" fillId="6" borderId="15" xfId="0" applyNumberFormat="1" applyFont="1" applyFill="1" applyBorder="1" applyAlignment="1" applyProtection="1">
      <alignment horizontal="center" vertical="center"/>
      <protection hidden="1"/>
    </xf>
    <xf numFmtId="2" fontId="0" fillId="6" borderId="68" xfId="0" applyNumberFormat="1" applyFont="1" applyFill="1" applyBorder="1" applyAlignment="1" applyProtection="1">
      <alignment horizontal="center" vertical="center"/>
      <protection hidden="1"/>
    </xf>
    <xf numFmtId="1" fontId="0" fillId="6" borderId="9" xfId="0" applyNumberFormat="1" applyFont="1" applyFill="1" applyBorder="1" applyAlignment="1" applyProtection="1">
      <alignment horizontal="center" vertical="center"/>
      <protection hidden="1"/>
    </xf>
    <xf numFmtId="1" fontId="0" fillId="6" borderId="0" xfId="0" applyNumberFormat="1" applyFont="1" applyFill="1" applyBorder="1" applyAlignment="1" applyProtection="1">
      <alignment horizontal="center" vertical="center"/>
      <protection hidden="1"/>
    </xf>
    <xf numFmtId="1" fontId="0" fillId="6" borderId="37" xfId="0" applyNumberFormat="1" applyFont="1" applyFill="1" applyBorder="1" applyAlignment="1" applyProtection="1">
      <alignment horizontal="center" vertical="center"/>
      <protection hidden="1"/>
    </xf>
    <xf numFmtId="0" fontId="48" fillId="2" borderId="79" xfId="0" applyFont="1" applyFill="1" applyBorder="1" applyAlignment="1" applyProtection="1">
      <alignment horizontal="justify" vertical="top" wrapText="1"/>
      <protection hidden="1"/>
    </xf>
    <xf numFmtId="0" fontId="48" fillId="2" borderId="0" xfId="0" applyFont="1" applyFill="1" applyBorder="1" applyAlignment="1" applyProtection="1">
      <alignment horizontal="justify" vertical="top" wrapText="1"/>
      <protection hidden="1"/>
    </xf>
    <xf numFmtId="0" fontId="48" fillId="2" borderId="80" xfId="0" applyFont="1" applyFill="1" applyBorder="1" applyAlignment="1" applyProtection="1">
      <alignment horizontal="justify" vertical="top" wrapText="1"/>
      <protection hidden="1"/>
    </xf>
    <xf numFmtId="0" fontId="48" fillId="2" borderId="87" xfId="0" applyFont="1" applyFill="1" applyBorder="1" applyAlignment="1" applyProtection="1">
      <alignment horizontal="justify" vertical="top" wrapText="1"/>
      <protection hidden="1"/>
    </xf>
    <xf numFmtId="0" fontId="48" fillId="2" borderId="72" xfId="0" applyFont="1" applyFill="1" applyBorder="1" applyAlignment="1" applyProtection="1">
      <alignment horizontal="justify" vertical="top" wrapText="1"/>
      <protection hidden="1"/>
    </xf>
    <xf numFmtId="0" fontId="48" fillId="2" borderId="88" xfId="0" applyFont="1" applyFill="1" applyBorder="1" applyAlignment="1" applyProtection="1">
      <alignment horizontal="justify" vertical="top" wrapText="1"/>
      <protection hidden="1"/>
    </xf>
    <xf numFmtId="164" fontId="19" fillId="6" borderId="68" xfId="0" applyNumberFormat="1" applyFont="1" applyFill="1" applyBorder="1" applyAlignment="1" applyProtection="1">
      <alignment horizontal="center" vertical="center"/>
      <protection hidden="1"/>
    </xf>
    <xf numFmtId="164" fontId="19" fillId="6" borderId="15" xfId="0" applyNumberFormat="1" applyFont="1" applyFill="1" applyBorder="1" applyAlignment="1" applyProtection="1">
      <alignment horizontal="center" vertical="center"/>
      <protection hidden="1"/>
    </xf>
    <xf numFmtId="0" fontId="88" fillId="3" borderId="86" xfId="0" applyFont="1" applyFill="1" applyBorder="1" applyAlignment="1" applyProtection="1">
      <alignment horizontal="center" vertical="center"/>
      <protection hidden="1"/>
    </xf>
    <xf numFmtId="0" fontId="83" fillId="3" borderId="51" xfId="0" applyFont="1" applyFill="1" applyBorder="1" applyAlignment="1" applyProtection="1">
      <alignment horizontal="center" vertical="center"/>
      <protection hidden="1"/>
    </xf>
    <xf numFmtId="0" fontId="83" fillId="3" borderId="52" xfId="0" applyFont="1" applyFill="1" applyBorder="1" applyAlignment="1" applyProtection="1">
      <alignment horizontal="center" vertical="center"/>
      <protection hidden="1"/>
    </xf>
    <xf numFmtId="2" fontId="77" fillId="3" borderId="52" xfId="0" applyNumberFormat="1" applyFont="1" applyFill="1" applyBorder="1" applyAlignment="1" applyProtection="1">
      <alignment horizontal="center" vertical="center"/>
      <protection locked="0"/>
    </xf>
    <xf numFmtId="2" fontId="77" fillId="3" borderId="30" xfId="0" applyNumberFormat="1" applyFont="1" applyFill="1" applyBorder="1" applyAlignment="1" applyProtection="1">
      <alignment horizontal="center" vertical="center"/>
      <protection locked="0"/>
    </xf>
    <xf numFmtId="2" fontId="77" fillId="3" borderId="50" xfId="0" applyNumberFormat="1" applyFont="1" applyFill="1" applyBorder="1" applyAlignment="1" applyProtection="1">
      <alignment horizontal="center" vertical="center"/>
      <protection locked="0"/>
    </xf>
    <xf numFmtId="2" fontId="0" fillId="6" borderId="16" xfId="0" applyNumberFormat="1" applyFont="1" applyFill="1" applyBorder="1" applyAlignment="1" applyProtection="1">
      <alignment horizontal="center" vertical="center"/>
      <protection hidden="1"/>
    </xf>
    <xf numFmtId="2" fontId="0" fillId="6" borderId="13" xfId="0" applyNumberFormat="1" applyFont="1" applyFill="1" applyBorder="1" applyAlignment="1" applyProtection="1">
      <alignment horizontal="center" vertical="center"/>
      <protection hidden="1"/>
    </xf>
    <xf numFmtId="2" fontId="0" fillId="6" borderId="14" xfId="0" applyNumberFormat="1" applyFont="1" applyFill="1" applyBorder="1" applyAlignment="1" applyProtection="1">
      <alignment horizontal="center" vertical="center"/>
      <protection hidden="1"/>
    </xf>
    <xf numFmtId="2" fontId="2" fillId="6" borderId="36" xfId="0" applyNumberFormat="1" applyFont="1" applyFill="1" applyBorder="1" applyAlignment="1" applyProtection="1">
      <alignment horizontal="center" vertical="center"/>
      <protection hidden="1"/>
    </xf>
    <xf numFmtId="166" fontId="0" fillId="6" borderId="34" xfId="0" applyNumberFormat="1" applyFont="1" applyFill="1" applyBorder="1" applyAlignment="1" applyProtection="1">
      <alignment horizontal="center" vertical="center"/>
      <protection hidden="1"/>
    </xf>
    <xf numFmtId="166" fontId="0" fillId="6" borderId="30" xfId="0" applyNumberFormat="1" applyFont="1" applyFill="1" applyBorder="1" applyAlignment="1" applyProtection="1">
      <alignment horizontal="center" vertical="center"/>
      <protection hidden="1"/>
    </xf>
    <xf numFmtId="166" fontId="0" fillId="6" borderId="78" xfId="0" applyNumberFormat="1" applyFont="1" applyFill="1" applyBorder="1" applyAlignment="1" applyProtection="1">
      <alignment horizontal="center" vertical="center"/>
      <protection hidden="1"/>
    </xf>
    <xf numFmtId="166" fontId="23" fillId="6" borderId="34" xfId="0" applyNumberFormat="1" applyFont="1" applyFill="1" applyBorder="1" applyAlignment="1" applyProtection="1">
      <alignment horizontal="center" vertical="center"/>
      <protection hidden="1"/>
    </xf>
    <xf numFmtId="166" fontId="23" fillId="6" borderId="30" xfId="0" applyNumberFormat="1" applyFont="1" applyFill="1" applyBorder="1" applyAlignment="1" applyProtection="1">
      <alignment horizontal="center" vertical="center"/>
      <protection hidden="1"/>
    </xf>
    <xf numFmtId="166" fontId="23" fillId="6" borderId="78" xfId="0" applyNumberFormat="1" applyFont="1" applyFill="1" applyBorder="1" applyAlignment="1" applyProtection="1">
      <alignment horizontal="center" vertical="center"/>
      <protection hidden="1"/>
    </xf>
    <xf numFmtId="2" fontId="0" fillId="6" borderId="70" xfId="0" applyNumberFormat="1" applyFont="1" applyFill="1" applyBorder="1" applyAlignment="1" applyProtection="1">
      <alignment horizontal="center" vertical="center"/>
      <protection hidden="1"/>
    </xf>
    <xf numFmtId="1" fontId="39" fillId="3" borderId="30" xfId="0" applyNumberFormat="1" applyFont="1" applyFill="1" applyBorder="1" applyAlignment="1" applyProtection="1">
      <alignment horizontal="left" vertical="center"/>
      <protection hidden="1"/>
    </xf>
    <xf numFmtId="1" fontId="39" fillId="3" borderId="35" xfId="0" applyNumberFormat="1" applyFont="1" applyFill="1" applyBorder="1" applyAlignment="1" applyProtection="1">
      <alignment horizontal="left" vertical="center"/>
      <protection hidden="1"/>
    </xf>
    <xf numFmtId="0" fontId="48" fillId="2" borderId="90" xfId="0" applyFont="1" applyFill="1" applyBorder="1" applyAlignment="1">
      <alignment horizontal="left" vertical="top" wrapText="1"/>
    </xf>
    <xf numFmtId="0" fontId="48" fillId="2" borderId="0" xfId="0" applyFont="1" applyFill="1" applyBorder="1" applyAlignment="1">
      <alignment horizontal="left" vertical="top" wrapText="1"/>
    </xf>
    <xf numFmtId="2" fontId="0" fillId="6" borderId="69" xfId="0" applyNumberFormat="1" applyFont="1" applyFill="1" applyBorder="1" applyAlignment="1" applyProtection="1">
      <alignment horizontal="center" vertical="center"/>
      <protection hidden="1"/>
    </xf>
    <xf numFmtId="2" fontId="0" fillId="6" borderId="9" xfId="1" applyNumberFormat="1" applyFont="1" applyFill="1" applyBorder="1" applyAlignment="1" applyProtection="1">
      <alignment horizontal="center" vertical="center"/>
      <protection hidden="1"/>
    </xf>
    <xf numFmtId="2" fontId="0" fillId="6" borderId="0" xfId="1" applyNumberFormat="1" applyFont="1" applyFill="1" applyBorder="1" applyAlignment="1" applyProtection="1">
      <alignment horizontal="center" vertical="center"/>
      <protection hidden="1"/>
    </xf>
    <xf numFmtId="2" fontId="0" fillId="6" borderId="12" xfId="1" applyNumberFormat="1" applyFont="1" applyFill="1" applyBorder="1" applyAlignment="1" applyProtection="1">
      <alignment horizontal="center" vertical="center"/>
      <protection hidden="1"/>
    </xf>
    <xf numFmtId="0" fontId="37" fillId="3" borderId="25" xfId="0" quotePrefix="1" applyFont="1" applyFill="1" applyBorder="1" applyAlignment="1" applyProtection="1">
      <alignment horizontal="center" vertical="center" wrapText="1"/>
      <protection hidden="1"/>
    </xf>
    <xf numFmtId="0" fontId="29" fillId="3" borderId="23" xfId="0" applyFont="1" applyFill="1" applyBorder="1" applyAlignment="1" applyProtection="1">
      <alignment horizontal="center" vertical="center" wrapText="1"/>
      <protection hidden="1"/>
    </xf>
    <xf numFmtId="0" fontId="29" fillId="3" borderId="24" xfId="0" applyFont="1" applyFill="1" applyBorder="1" applyAlignment="1" applyProtection="1">
      <alignment horizontal="center" vertical="center" wrapText="1"/>
      <protection hidden="1"/>
    </xf>
    <xf numFmtId="0" fontId="19" fillId="3" borderId="60" xfId="0" applyFont="1" applyFill="1" applyBorder="1" applyAlignment="1" applyProtection="1">
      <alignment horizontal="center" vertical="center"/>
      <protection locked="0"/>
    </xf>
    <xf numFmtId="0" fontId="19" fillId="3" borderId="61" xfId="0" applyFont="1" applyFill="1" applyBorder="1" applyAlignment="1" applyProtection="1">
      <alignment horizontal="center" vertical="center"/>
      <protection locked="0"/>
    </xf>
    <xf numFmtId="0" fontId="30" fillId="3" borderId="73" xfId="0" quotePrefix="1" applyFont="1" applyFill="1" applyBorder="1" applyAlignment="1" applyProtection="1">
      <alignment horizontal="center" vertical="center"/>
      <protection hidden="1"/>
    </xf>
    <xf numFmtId="0" fontId="30" fillId="3" borderId="74" xfId="0" quotePrefix="1" applyFont="1" applyFill="1" applyBorder="1" applyAlignment="1" applyProtection="1">
      <alignment horizontal="center" vertical="center"/>
      <protection hidden="1"/>
    </xf>
    <xf numFmtId="0" fontId="30" fillId="3" borderId="75" xfId="0" quotePrefix="1" applyFont="1" applyFill="1" applyBorder="1" applyAlignment="1" applyProtection="1">
      <alignment horizontal="center" vertical="center"/>
      <protection hidden="1"/>
    </xf>
    <xf numFmtId="0" fontId="30" fillId="3" borderId="49" xfId="0" quotePrefix="1" applyFont="1" applyFill="1" applyBorder="1" applyAlignment="1" applyProtection="1">
      <alignment horizontal="center" vertical="center"/>
      <protection hidden="1"/>
    </xf>
    <xf numFmtId="164" fontId="19" fillId="6" borderId="58" xfId="0" applyNumberFormat="1" applyFont="1" applyFill="1" applyBorder="1" applyAlignment="1" applyProtection="1">
      <alignment horizontal="center" vertical="center"/>
      <protection hidden="1"/>
    </xf>
    <xf numFmtId="164" fontId="19" fillId="6" borderId="59" xfId="0" applyNumberFormat="1" applyFont="1" applyFill="1" applyBorder="1" applyAlignment="1" applyProtection="1">
      <alignment horizontal="center" vertical="center"/>
      <protection hidden="1"/>
    </xf>
    <xf numFmtId="0" fontId="24" fillId="6" borderId="38" xfId="0" quotePrefix="1" applyFont="1" applyFill="1" applyBorder="1" applyAlignment="1" applyProtection="1">
      <alignment horizontal="center" vertical="center"/>
      <protection hidden="1"/>
    </xf>
    <xf numFmtId="0" fontId="20" fillId="3" borderId="52" xfId="0" applyFont="1" applyFill="1" applyBorder="1" applyAlignment="1" applyProtection="1">
      <alignment horizontal="center" vertical="center" textRotation="90" wrapText="1"/>
      <protection hidden="1"/>
    </xf>
    <xf numFmtId="0" fontId="20" fillId="3" borderId="30" xfId="0" applyFont="1" applyFill="1" applyBorder="1" applyAlignment="1" applyProtection="1">
      <alignment horizontal="center" vertical="center" textRotation="90" wrapText="1"/>
      <protection hidden="1"/>
    </xf>
    <xf numFmtId="0" fontId="20" fillId="3" borderId="50" xfId="0" applyFont="1" applyFill="1" applyBorder="1" applyAlignment="1" applyProtection="1">
      <alignment horizontal="center" vertical="center" textRotation="90" wrapText="1"/>
      <protection hidden="1"/>
    </xf>
    <xf numFmtId="0" fontId="20" fillId="3" borderId="9" xfId="0" applyFont="1" applyFill="1" applyBorder="1" applyAlignment="1" applyProtection="1">
      <alignment horizontal="center" vertical="center" textRotation="90" wrapText="1"/>
      <protection hidden="1"/>
    </xf>
    <xf numFmtId="0" fontId="20" fillId="3" borderId="0" xfId="0" applyFont="1" applyFill="1" applyBorder="1" applyAlignment="1" applyProtection="1">
      <alignment horizontal="center" vertical="center" textRotation="90" wrapText="1"/>
      <protection hidden="1"/>
    </xf>
    <xf numFmtId="0" fontId="20" fillId="3" borderId="12" xfId="0" applyFont="1" applyFill="1" applyBorder="1" applyAlignment="1" applyProtection="1">
      <alignment horizontal="center" vertical="center" textRotation="90" wrapText="1"/>
      <protection hidden="1"/>
    </xf>
    <xf numFmtId="0" fontId="37" fillId="3" borderId="23" xfId="0" quotePrefix="1" applyFont="1" applyFill="1" applyBorder="1" applyAlignment="1" applyProtection="1">
      <alignment horizontal="center" vertical="center" wrapText="1"/>
      <protection hidden="1"/>
    </xf>
    <xf numFmtId="0" fontId="37" fillId="3" borderId="24" xfId="0" quotePrefix="1" applyFont="1" applyFill="1" applyBorder="1" applyAlignment="1" applyProtection="1">
      <alignment horizontal="center" vertical="center" wrapText="1"/>
      <protection hidden="1"/>
    </xf>
    <xf numFmtId="2" fontId="19" fillId="3" borderId="60" xfId="0" applyNumberFormat="1" applyFont="1" applyFill="1" applyBorder="1" applyAlignment="1" applyProtection="1">
      <alignment horizontal="center" vertical="center"/>
      <protection locked="0"/>
    </xf>
    <xf numFmtId="2" fontId="19" fillId="3" borderId="61" xfId="0" applyNumberFormat="1" applyFont="1" applyFill="1" applyBorder="1" applyAlignment="1" applyProtection="1">
      <alignment horizontal="center" vertical="center"/>
      <protection locked="0"/>
    </xf>
    <xf numFmtId="2" fontId="19" fillId="3" borderId="62" xfId="0" applyNumberFormat="1" applyFont="1" applyFill="1" applyBorder="1" applyAlignment="1" applyProtection="1">
      <alignment horizontal="center" vertical="center"/>
      <protection locked="0"/>
    </xf>
    <xf numFmtId="164" fontId="19" fillId="3" borderId="60" xfId="0" applyNumberFormat="1" applyFont="1" applyFill="1" applyBorder="1" applyAlignment="1" applyProtection="1">
      <alignment horizontal="center" vertical="center"/>
      <protection locked="0"/>
    </xf>
    <xf numFmtId="164" fontId="19" fillId="3" borderId="61" xfId="0" applyNumberFormat="1" applyFont="1" applyFill="1" applyBorder="1" applyAlignment="1" applyProtection="1">
      <alignment horizontal="center" vertical="center"/>
      <protection locked="0"/>
    </xf>
    <xf numFmtId="164" fontId="19" fillId="3" borderId="62" xfId="0" applyNumberFormat="1" applyFont="1" applyFill="1" applyBorder="1" applyAlignment="1" applyProtection="1">
      <alignment horizontal="center" vertical="center"/>
      <protection locked="0"/>
    </xf>
    <xf numFmtId="164" fontId="0" fillId="6" borderId="51" xfId="0" applyNumberFormat="1" applyFont="1" applyFill="1" applyBorder="1" applyAlignment="1" applyProtection="1">
      <alignment horizontal="center" vertical="center"/>
      <protection hidden="1"/>
    </xf>
    <xf numFmtId="164" fontId="0" fillId="6" borderId="52" xfId="0" applyNumberFormat="1" applyFont="1" applyFill="1" applyBorder="1" applyAlignment="1" applyProtection="1">
      <alignment horizontal="center" vertical="center"/>
      <protection hidden="1"/>
    </xf>
    <xf numFmtId="164" fontId="0" fillId="6" borderId="30" xfId="0" applyNumberFormat="1" applyFont="1" applyFill="1" applyBorder="1" applyAlignment="1" applyProtection="1">
      <alignment horizontal="center" vertical="center"/>
      <protection hidden="1"/>
    </xf>
    <xf numFmtId="164" fontId="0" fillId="6" borderId="35" xfId="0" applyNumberFormat="1" applyFont="1" applyFill="1" applyBorder="1" applyAlignment="1" applyProtection="1">
      <alignment horizontal="center" vertical="center"/>
      <protection hidden="1"/>
    </xf>
    <xf numFmtId="0" fontId="18" fillId="6" borderId="74" xfId="0" quotePrefix="1" applyFont="1" applyFill="1" applyBorder="1" applyAlignment="1" applyProtection="1">
      <alignment horizontal="center" vertical="center" wrapText="1"/>
      <protection hidden="1"/>
    </xf>
    <xf numFmtId="0" fontId="18" fillId="6" borderId="49" xfId="0" quotePrefix="1" applyFont="1" applyFill="1" applyBorder="1" applyAlignment="1" applyProtection="1">
      <alignment horizontal="center" vertical="center" wrapText="1"/>
      <protection hidden="1"/>
    </xf>
    <xf numFmtId="1" fontId="19" fillId="3" borderId="60" xfId="0" applyNumberFormat="1" applyFont="1" applyFill="1" applyBorder="1" applyAlignment="1" applyProtection="1">
      <alignment horizontal="center" vertical="center"/>
      <protection locked="0"/>
    </xf>
    <xf numFmtId="1" fontId="19" fillId="3" borderId="61" xfId="0" applyNumberFormat="1" applyFont="1" applyFill="1" applyBorder="1" applyAlignment="1" applyProtection="1">
      <alignment horizontal="center" vertical="center"/>
      <protection locked="0"/>
    </xf>
    <xf numFmtId="0" fontId="20" fillId="3" borderId="52" xfId="0" applyFont="1" applyFill="1" applyBorder="1" applyAlignment="1" applyProtection="1">
      <alignment horizontal="center" vertical="center" wrapText="1"/>
      <protection hidden="1"/>
    </xf>
    <xf numFmtId="0" fontId="20" fillId="3" borderId="30" xfId="0" applyFont="1" applyFill="1" applyBorder="1" applyAlignment="1" applyProtection="1">
      <alignment horizontal="center" vertical="center" wrapText="1"/>
      <protection hidden="1"/>
    </xf>
    <xf numFmtId="0" fontId="20" fillId="3" borderId="50" xfId="0" applyFont="1" applyFill="1" applyBorder="1" applyAlignment="1" applyProtection="1">
      <alignment horizontal="center" vertical="center" wrapText="1"/>
      <protection hidden="1"/>
    </xf>
    <xf numFmtId="0" fontId="20" fillId="3" borderId="9" xfId="0" applyFont="1" applyFill="1" applyBorder="1" applyAlignment="1" applyProtection="1">
      <alignment horizontal="center" vertical="center" wrapText="1"/>
      <protection hidden="1"/>
    </xf>
    <xf numFmtId="0" fontId="20" fillId="3" borderId="0" xfId="0" applyFont="1" applyFill="1" applyBorder="1" applyAlignment="1" applyProtection="1">
      <alignment horizontal="center" vertical="center" wrapText="1"/>
      <protection hidden="1"/>
    </xf>
    <xf numFmtId="0" fontId="20" fillId="3" borderId="12" xfId="0" applyFont="1" applyFill="1" applyBorder="1" applyAlignment="1" applyProtection="1">
      <alignment horizontal="center" vertical="center" wrapText="1"/>
      <protection hidden="1"/>
    </xf>
    <xf numFmtId="0" fontId="10" fillId="6" borderId="53" xfId="0" applyFont="1" applyFill="1" applyBorder="1" applyAlignment="1" applyProtection="1">
      <alignment horizontal="center" vertical="center" textRotation="90" wrapText="1"/>
      <protection hidden="1"/>
    </xf>
    <xf numFmtId="0" fontId="10" fillId="6" borderId="43" xfId="0" applyFont="1" applyFill="1" applyBorder="1" applyAlignment="1" applyProtection="1">
      <alignment horizontal="center" vertical="center" textRotation="90" wrapText="1"/>
      <protection hidden="1"/>
    </xf>
    <xf numFmtId="0" fontId="20" fillId="3" borderId="51" xfId="0" applyFont="1" applyFill="1" applyBorder="1" applyAlignment="1" applyProtection="1">
      <alignment horizontal="center" vertical="center" textRotation="90" wrapText="1"/>
      <protection hidden="1"/>
    </xf>
    <xf numFmtId="0" fontId="20" fillId="3" borderId="10" xfId="0" applyFont="1" applyFill="1" applyBorder="1" applyAlignment="1" applyProtection="1">
      <alignment horizontal="center" vertical="center" textRotation="90" wrapText="1"/>
      <protection hidden="1"/>
    </xf>
    <xf numFmtId="2" fontId="0" fillId="6" borderId="60" xfId="1" applyNumberFormat="1" applyFont="1" applyFill="1" applyBorder="1" applyAlignment="1" applyProtection="1">
      <alignment horizontal="center" vertical="center"/>
      <protection hidden="1"/>
    </xf>
    <xf numFmtId="2" fontId="0" fillId="6" borderId="61" xfId="1" applyNumberFormat="1" applyFont="1" applyFill="1" applyBorder="1" applyAlignment="1" applyProtection="1">
      <alignment horizontal="center" vertical="center"/>
      <protection hidden="1"/>
    </xf>
    <xf numFmtId="2" fontId="0" fillId="6" borderId="62" xfId="1" applyNumberFormat="1" applyFont="1" applyFill="1" applyBorder="1" applyAlignment="1" applyProtection="1">
      <alignment horizontal="center" vertical="center"/>
      <protection hidden="1"/>
    </xf>
    <xf numFmtId="0" fontId="51" fillId="3" borderId="51" xfId="0" applyFont="1" applyFill="1" applyBorder="1" applyAlignment="1" applyProtection="1">
      <alignment horizontal="center" vertical="center" textRotation="90" wrapText="1"/>
      <protection hidden="1"/>
    </xf>
    <xf numFmtId="0" fontId="20" fillId="3" borderId="51" xfId="0" applyFont="1" applyFill="1" applyBorder="1" applyAlignment="1" applyProtection="1">
      <alignment horizontal="center" vertical="center" wrapText="1"/>
      <protection hidden="1"/>
    </xf>
    <xf numFmtId="0" fontId="20" fillId="3" borderId="53" xfId="0" applyFont="1" applyFill="1" applyBorder="1" applyAlignment="1" applyProtection="1">
      <alignment horizontal="center" vertical="center" wrapText="1"/>
      <protection hidden="1"/>
    </xf>
    <xf numFmtId="0" fontId="20" fillId="3" borderId="10" xfId="0" applyFont="1" applyFill="1" applyBorder="1" applyAlignment="1" applyProtection="1">
      <alignment horizontal="center" vertical="center" wrapText="1"/>
      <protection hidden="1"/>
    </xf>
    <xf numFmtId="0" fontId="20" fillId="3" borderId="43" xfId="0" applyFont="1" applyFill="1" applyBorder="1" applyAlignment="1" applyProtection="1">
      <alignment horizontal="center" vertical="center" wrapText="1"/>
      <protection hidden="1"/>
    </xf>
    <xf numFmtId="0" fontId="13" fillId="6" borderId="54" xfId="0" applyFont="1" applyFill="1" applyBorder="1" applyAlignment="1" applyProtection="1">
      <alignment horizontal="center" vertical="center" textRotation="90"/>
      <protection hidden="1"/>
    </xf>
    <xf numFmtId="0" fontId="13" fillId="6" borderId="51" xfId="0" applyFont="1" applyFill="1" applyBorder="1" applyAlignment="1" applyProtection="1">
      <alignment horizontal="center" vertical="center" textRotation="90"/>
      <protection hidden="1"/>
    </xf>
    <xf numFmtId="0" fontId="13" fillId="6" borderId="46" xfId="0" applyFont="1" applyFill="1" applyBorder="1" applyAlignment="1" applyProtection="1">
      <alignment horizontal="center" vertical="center" textRotation="90"/>
      <protection hidden="1"/>
    </xf>
    <xf numFmtId="0" fontId="13" fillId="6" borderId="10" xfId="0" applyFont="1" applyFill="1" applyBorder="1" applyAlignment="1" applyProtection="1">
      <alignment horizontal="center" vertical="center" textRotation="90"/>
      <protection hidden="1"/>
    </xf>
    <xf numFmtId="0" fontId="29" fillId="3" borderId="40" xfId="0" applyFont="1" applyFill="1" applyBorder="1" applyAlignment="1" applyProtection="1">
      <alignment horizontal="center" vertical="center" wrapText="1"/>
      <protection hidden="1"/>
    </xf>
    <xf numFmtId="0" fontId="24" fillId="6" borderId="36" xfId="0" quotePrefix="1" applyFont="1" applyFill="1" applyBorder="1" applyAlignment="1" applyProtection="1">
      <alignment horizontal="center" vertical="center"/>
      <protection hidden="1"/>
    </xf>
    <xf numFmtId="0" fontId="20" fillId="3" borderId="30" xfId="0" applyFont="1" applyFill="1" applyBorder="1" applyAlignment="1" applyProtection="1">
      <alignment horizontal="center" vertical="center" textRotation="90"/>
      <protection hidden="1"/>
    </xf>
    <xf numFmtId="0" fontId="20" fillId="3" borderId="50" xfId="0" applyFont="1" applyFill="1" applyBorder="1" applyAlignment="1" applyProtection="1">
      <alignment horizontal="center" vertical="center" textRotation="90"/>
      <protection hidden="1"/>
    </xf>
    <xf numFmtId="0" fontId="20" fillId="3" borderId="0" xfId="0" applyFont="1" applyFill="1" applyBorder="1" applyAlignment="1" applyProtection="1">
      <alignment horizontal="center" vertical="center" textRotation="90"/>
      <protection hidden="1"/>
    </xf>
    <xf numFmtId="0" fontId="20" fillId="3" borderId="12" xfId="0" applyFont="1" applyFill="1" applyBorder="1" applyAlignment="1" applyProtection="1">
      <alignment horizontal="center" vertical="center" textRotation="90"/>
      <protection hidden="1"/>
    </xf>
    <xf numFmtId="0" fontId="20" fillId="3" borderId="77" xfId="0" applyFont="1" applyFill="1" applyBorder="1" applyAlignment="1" applyProtection="1">
      <alignment horizontal="center" vertical="center" textRotation="90"/>
      <protection hidden="1"/>
    </xf>
    <xf numFmtId="0" fontId="20" fillId="3" borderId="79" xfId="0" applyFont="1" applyFill="1" applyBorder="1" applyAlignment="1" applyProtection="1">
      <alignment horizontal="center" vertical="center" textRotation="90"/>
      <protection hidden="1"/>
    </xf>
    <xf numFmtId="0" fontId="37" fillId="3" borderId="81" xfId="0" quotePrefix="1" applyFont="1" applyFill="1" applyBorder="1" applyAlignment="1" applyProtection="1">
      <alignment horizontal="center" vertical="center"/>
      <protection hidden="1"/>
    </xf>
    <xf numFmtId="0" fontId="37" fillId="3" borderId="23" xfId="0" quotePrefix="1" applyFont="1" applyFill="1" applyBorder="1" applyAlignment="1" applyProtection="1">
      <alignment horizontal="center" vertical="center"/>
      <protection hidden="1"/>
    </xf>
    <xf numFmtId="0" fontId="37" fillId="3" borderId="24" xfId="0" quotePrefix="1" applyFont="1" applyFill="1" applyBorder="1" applyAlignment="1" applyProtection="1">
      <alignment horizontal="center" vertical="center"/>
      <protection hidden="1"/>
    </xf>
    <xf numFmtId="0" fontId="29" fillId="3" borderId="23" xfId="0" quotePrefix="1" applyFont="1" applyFill="1" applyBorder="1" applyAlignment="1" applyProtection="1">
      <alignment horizontal="center" vertical="center"/>
      <protection hidden="1"/>
    </xf>
    <xf numFmtId="0" fontId="29" fillId="3" borderId="23" xfId="0" applyFont="1" applyFill="1" applyBorder="1" applyAlignment="1" applyProtection="1">
      <alignment horizontal="center" vertical="center"/>
      <protection hidden="1"/>
    </xf>
    <xf numFmtId="0" fontId="29" fillId="3" borderId="24" xfId="0" applyFont="1" applyFill="1" applyBorder="1" applyAlignment="1" applyProtection="1">
      <alignment horizontal="center" vertical="center"/>
      <protection hidden="1"/>
    </xf>
    <xf numFmtId="0" fontId="19" fillId="3" borderId="82" xfId="0" applyFont="1" applyFill="1" applyBorder="1" applyAlignment="1" applyProtection="1">
      <alignment horizontal="center" vertical="center"/>
      <protection locked="0"/>
    </xf>
    <xf numFmtId="0" fontId="19" fillId="3" borderId="59" xfId="0" applyFont="1" applyFill="1" applyBorder="1" applyAlignment="1" applyProtection="1">
      <alignment horizontal="center" vertical="center"/>
      <protection locked="0"/>
    </xf>
    <xf numFmtId="1" fontId="19" fillId="3" borderId="59" xfId="0" applyNumberFormat="1" applyFont="1" applyFill="1" applyBorder="1" applyAlignment="1" applyProtection="1">
      <alignment horizontal="center" vertical="center"/>
      <protection locked="0"/>
    </xf>
    <xf numFmtId="0" fontId="56" fillId="3" borderId="89" xfId="0" applyFont="1" applyFill="1" applyBorder="1" applyAlignment="1" applyProtection="1">
      <alignment horizontal="center" vertical="center" wrapText="1"/>
      <protection hidden="1"/>
    </xf>
    <xf numFmtId="0" fontId="56" fillId="3" borderId="90" xfId="0" applyFont="1" applyFill="1" applyBorder="1" applyAlignment="1" applyProtection="1">
      <alignment horizontal="center" vertical="center" wrapText="1"/>
      <protection hidden="1"/>
    </xf>
    <xf numFmtId="0" fontId="56" fillId="3" borderId="91" xfId="0" applyFont="1" applyFill="1" applyBorder="1" applyAlignment="1" applyProtection="1">
      <alignment horizontal="center" vertical="center" wrapText="1"/>
      <protection hidden="1"/>
    </xf>
    <xf numFmtId="0" fontId="56" fillId="3" borderId="79" xfId="0" applyFont="1" applyFill="1" applyBorder="1" applyAlignment="1" applyProtection="1">
      <alignment horizontal="center" vertical="center" wrapText="1"/>
      <protection hidden="1"/>
    </xf>
    <xf numFmtId="0" fontId="56" fillId="3" borderId="0" xfId="0" applyFont="1" applyFill="1" applyBorder="1" applyAlignment="1" applyProtection="1">
      <alignment horizontal="center" vertical="center" wrapText="1"/>
      <protection hidden="1"/>
    </xf>
    <xf numFmtId="0" fontId="56" fillId="3" borderId="80" xfId="0" applyFont="1" applyFill="1" applyBorder="1" applyAlignment="1" applyProtection="1">
      <alignment horizontal="center" vertical="center" wrapText="1"/>
      <protection hidden="1"/>
    </xf>
    <xf numFmtId="0" fontId="56" fillId="3" borderId="81" xfId="0" applyFont="1" applyFill="1" applyBorder="1" applyAlignment="1" applyProtection="1">
      <alignment horizontal="center" vertical="center" wrapText="1"/>
      <protection hidden="1"/>
    </xf>
    <xf numFmtId="0" fontId="56" fillId="3" borderId="23" xfId="0" applyFont="1" applyFill="1" applyBorder="1" applyAlignment="1" applyProtection="1">
      <alignment horizontal="center" vertical="center" wrapText="1"/>
      <protection hidden="1"/>
    </xf>
    <xf numFmtId="0" fontId="56" fillId="3" borderId="92" xfId="0" applyFont="1" applyFill="1" applyBorder="1" applyAlignment="1" applyProtection="1">
      <alignment horizontal="center" vertical="center" wrapText="1"/>
      <protection hidden="1"/>
    </xf>
    <xf numFmtId="0" fontId="30" fillId="3" borderId="29" xfId="0" applyFont="1" applyFill="1" applyBorder="1" applyAlignment="1" applyProtection="1">
      <alignment horizontal="center" vertical="center"/>
      <protection hidden="1"/>
    </xf>
    <xf numFmtId="0" fontId="30" fillId="3" borderId="94" xfId="0" applyFont="1" applyFill="1" applyBorder="1" applyAlignment="1" applyProtection="1">
      <alignment horizontal="center" vertical="center"/>
      <protection hidden="1"/>
    </xf>
    <xf numFmtId="2" fontId="21" fillId="3" borderId="27" xfId="0" applyNumberFormat="1" applyFont="1" applyFill="1" applyBorder="1" applyAlignment="1" applyProtection="1">
      <alignment horizontal="center" vertical="center"/>
      <protection locked="0"/>
    </xf>
    <xf numFmtId="2" fontId="21" fillId="3" borderId="65" xfId="0" applyNumberFormat="1" applyFont="1" applyFill="1" applyBorder="1" applyAlignment="1" applyProtection="1">
      <alignment horizontal="center" vertical="center"/>
      <protection locked="0"/>
    </xf>
    <xf numFmtId="0" fontId="30" fillId="3" borderId="67" xfId="0" applyFont="1" applyFill="1" applyBorder="1" applyAlignment="1" applyProtection="1">
      <alignment horizontal="center" vertical="center"/>
      <protection hidden="1"/>
    </xf>
    <xf numFmtId="0" fontId="30" fillId="3" borderId="104" xfId="0" applyFont="1" applyFill="1" applyBorder="1" applyAlignment="1" applyProtection="1">
      <alignment horizontal="center" vertical="center"/>
      <protection hidden="1"/>
    </xf>
    <xf numFmtId="165" fontId="21" fillId="3" borderId="27" xfId="0" applyNumberFormat="1" applyFont="1" applyFill="1" applyBorder="1" applyAlignment="1" applyProtection="1">
      <alignment horizontal="center" vertical="center"/>
      <protection locked="0"/>
    </xf>
    <xf numFmtId="165" fontId="21" fillId="3" borderId="93" xfId="0" applyNumberFormat="1" applyFont="1" applyFill="1" applyBorder="1" applyAlignment="1" applyProtection="1">
      <alignment horizontal="center" vertical="center"/>
      <protection locked="0"/>
    </xf>
    <xf numFmtId="0" fontId="55" fillId="3" borderId="79" xfId="0" applyFont="1" applyFill="1" applyBorder="1" applyAlignment="1" applyProtection="1">
      <alignment horizontal="center" vertical="center" wrapText="1"/>
      <protection hidden="1"/>
    </xf>
    <xf numFmtId="0" fontId="55" fillId="3" borderId="0" xfId="0" applyFont="1" applyFill="1" applyBorder="1" applyAlignment="1" applyProtection="1">
      <alignment horizontal="center" vertical="center" wrapText="1"/>
      <protection hidden="1"/>
    </xf>
    <xf numFmtId="0" fontId="55" fillId="3" borderId="87" xfId="0" applyFont="1" applyFill="1" applyBorder="1" applyAlignment="1" applyProtection="1">
      <alignment horizontal="center" vertical="center" wrapText="1"/>
      <protection hidden="1"/>
    </xf>
    <xf numFmtId="0" fontId="55" fillId="3" borderId="72" xfId="0" applyFont="1" applyFill="1" applyBorder="1" applyAlignment="1" applyProtection="1">
      <alignment horizontal="center" vertical="center" wrapText="1"/>
      <protection hidden="1"/>
    </xf>
    <xf numFmtId="0" fontId="8" fillId="3" borderId="77" xfId="0" applyFont="1" applyFill="1" applyBorder="1" applyAlignment="1" applyProtection="1">
      <alignment horizontal="center" vertical="center"/>
      <protection hidden="1"/>
    </xf>
    <xf numFmtId="0" fontId="8" fillId="3" borderId="30" xfId="0" applyFont="1" applyFill="1" applyBorder="1" applyAlignment="1" applyProtection="1">
      <alignment horizontal="center" vertical="center"/>
      <protection hidden="1"/>
    </xf>
    <xf numFmtId="0" fontId="8" fillId="3" borderId="79"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8" fillId="3" borderId="31" xfId="0" applyFont="1" applyFill="1" applyBorder="1" applyAlignment="1" applyProtection="1">
      <alignment horizontal="left" vertical="center"/>
      <protection locked="0"/>
    </xf>
    <xf numFmtId="0" fontId="18" fillId="3" borderId="26" xfId="0" applyFont="1" applyFill="1" applyBorder="1" applyAlignment="1" applyProtection="1">
      <alignment horizontal="left" vertical="center"/>
      <protection locked="0"/>
    </xf>
    <xf numFmtId="0" fontId="18" fillId="3" borderId="76" xfId="0" applyFont="1" applyFill="1" applyBorder="1" applyAlignment="1" applyProtection="1">
      <alignment horizontal="left" vertical="center"/>
      <protection locked="0"/>
    </xf>
    <xf numFmtId="0" fontId="13" fillId="3" borderId="63" xfId="0" applyFont="1" applyFill="1" applyBorder="1" applyAlignment="1" applyProtection="1">
      <alignment horizontal="left" vertical="center"/>
      <protection hidden="1"/>
    </xf>
    <xf numFmtId="0" fontId="13" fillId="3" borderId="26" xfId="0" applyFont="1" applyFill="1" applyBorder="1" applyAlignment="1" applyProtection="1">
      <alignment horizontal="left" vertical="center"/>
      <protection hidden="1"/>
    </xf>
    <xf numFmtId="0" fontId="13" fillId="3" borderId="32" xfId="0" applyFont="1" applyFill="1" applyBorder="1" applyAlignment="1" applyProtection="1">
      <alignment horizontal="left" vertical="center"/>
      <protection hidden="1"/>
    </xf>
    <xf numFmtId="0" fontId="14" fillId="3" borderId="67" xfId="0" applyFont="1" applyFill="1" applyBorder="1" applyAlignment="1" applyProtection="1">
      <alignment horizontal="center" vertical="center"/>
      <protection locked="0"/>
    </xf>
    <xf numFmtId="0" fontId="14" fillId="3" borderId="105" xfId="0" applyFont="1" applyFill="1" applyBorder="1" applyAlignment="1" applyProtection="1">
      <alignment horizontal="center" vertical="center"/>
      <protection locked="0"/>
    </xf>
    <xf numFmtId="0" fontId="14" fillId="3" borderId="132" xfId="0" applyFont="1" applyFill="1" applyBorder="1" applyAlignment="1" applyProtection="1">
      <alignment horizontal="center" vertical="center"/>
      <protection locked="0"/>
    </xf>
    <xf numFmtId="0" fontId="13" fillId="3" borderId="109" xfId="0" applyFont="1" applyFill="1" applyBorder="1" applyAlignment="1" applyProtection="1">
      <alignment horizontal="left" vertical="center"/>
      <protection hidden="1"/>
    </xf>
    <xf numFmtId="0" fontId="13" fillId="3" borderId="105" xfId="0" applyFont="1" applyFill="1" applyBorder="1" applyAlignment="1" applyProtection="1">
      <alignment horizontal="left" vertical="center"/>
      <protection hidden="1"/>
    </xf>
    <xf numFmtId="0" fontId="13" fillId="3" borderId="33" xfId="0" applyFont="1" applyFill="1" applyBorder="1" applyAlignment="1" applyProtection="1">
      <alignment horizontal="left" vertical="center"/>
      <protection hidden="1"/>
    </xf>
    <xf numFmtId="0" fontId="14" fillId="3" borderId="65" xfId="0" applyFont="1" applyFill="1" applyBorder="1" applyAlignment="1" applyProtection="1">
      <alignment horizontal="center" vertical="center"/>
      <protection locked="0"/>
    </xf>
    <xf numFmtId="0" fontId="14" fillId="3" borderId="111" xfId="0" applyFont="1" applyFill="1" applyBorder="1" applyAlignment="1" applyProtection="1">
      <alignment horizontal="center" vertical="center"/>
      <protection locked="0"/>
    </xf>
    <xf numFmtId="0" fontId="14" fillId="3" borderId="133" xfId="0" applyFont="1" applyFill="1" applyBorder="1" applyAlignment="1" applyProtection="1">
      <alignment horizontal="center" vertical="center"/>
      <protection locked="0"/>
    </xf>
    <xf numFmtId="0" fontId="13" fillId="3" borderId="110" xfId="0" applyFont="1" applyFill="1" applyBorder="1" applyAlignment="1" applyProtection="1">
      <alignment horizontal="left" vertical="center"/>
      <protection hidden="1"/>
    </xf>
    <xf numFmtId="0" fontId="13" fillId="3" borderId="111" xfId="0" applyFont="1" applyFill="1" applyBorder="1" applyAlignment="1" applyProtection="1">
      <alignment horizontal="left" vertical="center"/>
      <protection hidden="1"/>
    </xf>
    <xf numFmtId="0" fontId="13" fillId="3" borderId="42" xfId="0" applyFont="1" applyFill="1" applyBorder="1" applyAlignment="1" applyProtection="1">
      <alignment horizontal="left" vertical="center"/>
      <protection hidden="1"/>
    </xf>
    <xf numFmtId="171" fontId="55" fillId="3" borderId="31" xfId="0" applyNumberFormat="1" applyFont="1" applyFill="1" applyBorder="1" applyAlignment="1" applyProtection="1">
      <alignment horizontal="center" vertical="center"/>
      <protection locked="0"/>
    </xf>
    <xf numFmtId="171" fontId="55" fillId="3" borderId="26" xfId="0" applyNumberFormat="1" applyFont="1" applyFill="1" applyBorder="1" applyAlignment="1" applyProtection="1">
      <alignment horizontal="center" vertical="center"/>
      <protection locked="0"/>
    </xf>
    <xf numFmtId="171" fontId="55" fillId="3" borderId="64" xfId="0" applyNumberFormat="1" applyFont="1" applyFill="1" applyBorder="1" applyAlignment="1" applyProtection="1">
      <alignment horizontal="center" vertical="center"/>
      <protection locked="0"/>
    </xf>
    <xf numFmtId="2" fontId="8" fillId="3" borderId="39" xfId="0" applyNumberFormat="1" applyFont="1" applyFill="1" applyBorder="1" applyAlignment="1" applyProtection="1">
      <alignment horizontal="center" vertical="center"/>
      <protection locked="0"/>
    </xf>
    <xf numFmtId="0" fontId="21" fillId="3" borderId="112" xfId="0" applyFont="1" applyFill="1" applyBorder="1" applyAlignment="1" applyProtection="1">
      <alignment horizontal="center" vertical="center"/>
      <protection locked="0"/>
    </xf>
    <xf numFmtId="0" fontId="21" fillId="3" borderId="27" xfId="0" applyFont="1" applyFill="1" applyBorder="1" applyAlignment="1" applyProtection="1">
      <alignment horizontal="center" vertical="center"/>
      <protection locked="0"/>
    </xf>
    <xf numFmtId="0" fontId="13" fillId="3" borderId="104" xfId="0" applyFont="1" applyFill="1" applyBorder="1" applyAlignment="1" applyProtection="1">
      <alignment horizontal="center" vertical="center"/>
      <protection hidden="1"/>
    </xf>
    <xf numFmtId="0" fontId="13" fillId="3" borderId="29" xfId="0" applyFont="1" applyFill="1" applyBorder="1" applyAlignment="1" applyProtection="1">
      <alignment horizontal="center" vertical="center"/>
      <protection hidden="1"/>
    </xf>
    <xf numFmtId="0" fontId="8" fillId="3" borderId="114" xfId="0" applyFont="1" applyFill="1" applyBorder="1" applyAlignment="1" applyProtection="1">
      <alignment horizontal="center" vertical="center"/>
      <protection locked="0"/>
    </xf>
    <xf numFmtId="0" fontId="8" fillId="3" borderId="72" xfId="0" applyFont="1" applyFill="1" applyBorder="1" applyAlignment="1" applyProtection="1">
      <alignment horizontal="center" vertical="center"/>
      <protection locked="0"/>
    </xf>
    <xf numFmtId="0" fontId="8" fillId="3" borderId="100" xfId="0" applyFont="1" applyFill="1" applyBorder="1" applyAlignment="1" applyProtection="1">
      <alignment horizontal="center" vertical="center"/>
      <protection locked="0"/>
    </xf>
    <xf numFmtId="0" fontId="13" fillId="3" borderId="103" xfId="0" applyFont="1" applyFill="1" applyBorder="1" applyAlignment="1" applyProtection="1">
      <alignment horizontal="center" vertical="center"/>
      <protection hidden="1"/>
    </xf>
    <xf numFmtId="0" fontId="13" fillId="3" borderId="71" xfId="0" applyFont="1" applyFill="1" applyBorder="1" applyAlignment="1" applyProtection="1">
      <alignment horizontal="center" vertical="center"/>
      <protection hidden="1"/>
    </xf>
    <xf numFmtId="0" fontId="13" fillId="3" borderId="113" xfId="0" applyFont="1" applyFill="1" applyBorder="1" applyAlignment="1" applyProtection="1">
      <alignment horizontal="center" vertical="center"/>
      <protection hidden="1"/>
    </xf>
    <xf numFmtId="0" fontId="13" fillId="3" borderId="39" xfId="0" applyFont="1" applyFill="1" applyBorder="1" applyAlignment="1" applyProtection="1">
      <alignment horizontal="center" vertical="center"/>
      <protection hidden="1"/>
    </xf>
    <xf numFmtId="0" fontId="18" fillId="3" borderId="104" xfId="0" applyFont="1" applyFill="1" applyBorder="1" applyAlignment="1" applyProtection="1">
      <alignment horizontal="center" vertical="center"/>
      <protection hidden="1"/>
    </xf>
    <xf numFmtId="0" fontId="18" fillId="3" borderId="29" xfId="0" applyFont="1" applyFill="1" applyBorder="1" applyAlignment="1" applyProtection="1">
      <alignment horizontal="center" vertical="center"/>
      <protection hidden="1"/>
    </xf>
    <xf numFmtId="0" fontId="18" fillId="3" borderId="112" xfId="0" applyFont="1" applyFill="1" applyBorder="1" applyAlignment="1" applyProtection="1">
      <alignment horizontal="center" vertical="center"/>
      <protection hidden="1"/>
    </xf>
    <xf numFmtId="0" fontId="18" fillId="3" borderId="27" xfId="0" applyFont="1" applyFill="1" applyBorder="1" applyAlignment="1" applyProtection="1">
      <alignment horizontal="center" vertical="center"/>
      <protection hidden="1"/>
    </xf>
    <xf numFmtId="0" fontId="13" fillId="3" borderId="38" xfId="0" applyFont="1" applyFill="1" applyBorder="1" applyAlignment="1" applyProtection="1">
      <alignment horizontal="center" vertical="center"/>
      <protection hidden="1"/>
    </xf>
    <xf numFmtId="0" fontId="13" fillId="3" borderId="23"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4" xfId="0" applyFont="1" applyFill="1" applyBorder="1" applyAlignment="1" applyProtection="1">
      <alignment horizontal="left" vertical="center"/>
      <protection hidden="1"/>
    </xf>
    <xf numFmtId="0" fontId="13" fillId="3" borderId="67" xfId="0" applyFont="1" applyFill="1" applyBorder="1" applyAlignment="1" applyProtection="1">
      <alignment horizontal="center" vertical="center"/>
      <protection hidden="1"/>
    </xf>
    <xf numFmtId="0" fontId="13" fillId="3" borderId="105" xfId="0" applyFont="1" applyFill="1" applyBorder="1" applyAlignment="1" applyProtection="1">
      <alignment horizontal="center" vertical="center"/>
      <protection hidden="1"/>
    </xf>
    <xf numFmtId="0" fontId="13" fillId="3" borderId="132" xfId="0" applyFont="1" applyFill="1" applyBorder="1" applyAlignment="1" applyProtection="1">
      <alignment horizontal="center" vertical="center"/>
      <protection hidden="1"/>
    </xf>
    <xf numFmtId="0" fontId="8" fillId="3" borderId="97" xfId="0" applyFont="1" applyFill="1" applyBorder="1" applyAlignment="1" applyProtection="1">
      <alignment horizontal="center" vertical="center"/>
      <protection locked="0"/>
    </xf>
    <xf numFmtId="0" fontId="8" fillId="3" borderId="98" xfId="0" applyFont="1" applyFill="1" applyBorder="1" applyAlignment="1" applyProtection="1">
      <alignment horizontal="center" vertical="center"/>
      <protection locked="0"/>
    </xf>
    <xf numFmtId="0" fontId="8" fillId="3" borderId="134" xfId="0" applyFont="1" applyFill="1" applyBorder="1" applyAlignment="1" applyProtection="1">
      <alignment horizontal="center" vertical="center"/>
      <protection locked="0"/>
    </xf>
    <xf numFmtId="0" fontId="13" fillId="3" borderId="34" xfId="0" applyFont="1" applyFill="1" applyBorder="1" applyAlignment="1" applyProtection="1">
      <alignment horizontal="left" vertical="center"/>
      <protection hidden="1"/>
    </xf>
    <xf numFmtId="0" fontId="13" fillId="3" borderId="30" xfId="0" applyFont="1" applyFill="1" applyBorder="1" applyAlignment="1" applyProtection="1">
      <alignment horizontal="left" vertical="center"/>
      <protection hidden="1"/>
    </xf>
    <xf numFmtId="0" fontId="13" fillId="3" borderId="135" xfId="0" applyFont="1" applyFill="1" applyBorder="1" applyAlignment="1" applyProtection="1">
      <alignment horizontal="left" vertical="center"/>
      <protection hidden="1"/>
    </xf>
    <xf numFmtId="0" fontId="13" fillId="3" borderId="114" xfId="0" applyFont="1" applyFill="1" applyBorder="1" applyAlignment="1" applyProtection="1">
      <alignment horizontal="left" vertical="center"/>
      <protection hidden="1"/>
    </xf>
    <xf numFmtId="0" fontId="13" fillId="3" borderId="72" xfId="0" applyFont="1" applyFill="1" applyBorder="1" applyAlignment="1" applyProtection="1">
      <alignment horizontal="left" vertical="center"/>
      <protection hidden="1"/>
    </xf>
    <xf numFmtId="0" fontId="13" fillId="3" borderId="100" xfId="0" applyFont="1" applyFill="1" applyBorder="1" applyAlignment="1" applyProtection="1">
      <alignment horizontal="left" vertical="center"/>
      <protection hidden="1"/>
    </xf>
    <xf numFmtId="1" fontId="8" fillId="3" borderId="106" xfId="0" applyNumberFormat="1" applyFont="1" applyFill="1" applyBorder="1" applyAlignment="1" applyProtection="1">
      <alignment horizontal="center" vertical="center"/>
      <protection locked="0"/>
    </xf>
    <xf numFmtId="1" fontId="8" fillId="3" borderId="96" xfId="0" applyNumberFormat="1" applyFont="1" applyFill="1" applyBorder="1" applyAlignment="1" applyProtection="1">
      <alignment horizontal="center" vertical="center"/>
      <protection locked="0"/>
    </xf>
    <xf numFmtId="1" fontId="8" fillId="3" borderId="99" xfId="0" applyNumberFormat="1" applyFont="1" applyFill="1" applyBorder="1" applyAlignment="1" applyProtection="1">
      <alignment horizontal="center" vertical="center"/>
      <protection locked="0"/>
    </xf>
    <xf numFmtId="0" fontId="13" fillId="3" borderId="94" xfId="0" applyFont="1" applyFill="1" applyBorder="1" applyAlignment="1" applyProtection="1">
      <alignment horizontal="center" vertical="center"/>
      <protection hidden="1"/>
    </xf>
    <xf numFmtId="0" fontId="14" fillId="3" borderId="66" xfId="0" applyFont="1" applyFill="1" applyBorder="1" applyAlignment="1" applyProtection="1">
      <alignment horizontal="center" vertical="center"/>
      <protection locked="0"/>
    </xf>
    <xf numFmtId="0" fontId="14" fillId="3" borderId="23" xfId="0" applyFont="1" applyFill="1" applyBorder="1" applyAlignment="1" applyProtection="1">
      <alignment horizontal="center" vertical="center"/>
      <protection locked="0"/>
    </xf>
    <xf numFmtId="0" fontId="55" fillId="3" borderId="66" xfId="0" applyFont="1" applyFill="1" applyBorder="1" applyAlignment="1" applyProtection="1">
      <alignment horizontal="center" vertical="center"/>
      <protection hidden="1"/>
    </xf>
    <xf numFmtId="0" fontId="55" fillId="3" borderId="23" xfId="0" applyFont="1" applyFill="1" applyBorder="1" applyAlignment="1" applyProtection="1">
      <alignment horizontal="center" vertical="center"/>
      <protection hidden="1"/>
    </xf>
    <xf numFmtId="0" fontId="55" fillId="3" borderId="41" xfId="0" applyFont="1" applyFill="1" applyBorder="1" applyAlignment="1" applyProtection="1">
      <alignment horizontal="center" vertical="center"/>
      <protection hidden="1"/>
    </xf>
    <xf numFmtId="167" fontId="14" fillId="3" borderId="71" xfId="0" applyNumberFormat="1" applyFont="1" applyFill="1" applyBorder="1" applyAlignment="1" applyProtection="1">
      <alignment horizontal="center" vertical="center"/>
      <protection locked="0"/>
    </xf>
    <xf numFmtId="167" fontId="14" fillId="3" borderId="31" xfId="0" applyNumberFormat="1" applyFont="1" applyFill="1" applyBorder="1" applyAlignment="1" applyProtection="1">
      <alignment horizontal="center" vertical="center"/>
      <protection locked="0"/>
    </xf>
    <xf numFmtId="0" fontId="8" fillId="3" borderId="71" xfId="0" applyFont="1" applyFill="1" applyBorder="1" applyAlignment="1" applyProtection="1">
      <alignment horizontal="center" vertical="center"/>
      <protection locked="0"/>
    </xf>
    <xf numFmtId="0" fontId="8" fillId="3" borderId="102" xfId="0" applyFont="1" applyFill="1" applyBorder="1" applyAlignment="1" applyProtection="1">
      <alignment horizontal="center" vertical="center"/>
      <protection locked="0"/>
    </xf>
    <xf numFmtId="166" fontId="8" fillId="3" borderId="39" xfId="0" applyNumberFormat="1" applyFont="1" applyFill="1" applyBorder="1" applyAlignment="1" applyProtection="1">
      <alignment horizontal="center" vertical="center"/>
      <protection locked="0"/>
    </xf>
    <xf numFmtId="166" fontId="8" fillId="3" borderId="107" xfId="0" applyNumberFormat="1" applyFont="1" applyFill="1" applyBorder="1" applyAlignment="1" applyProtection="1">
      <alignment horizontal="center" vertical="center"/>
      <protection locked="0"/>
    </xf>
    <xf numFmtId="0" fontId="18" fillId="6" borderId="63" xfId="0" applyFont="1" applyFill="1" applyBorder="1" applyAlignment="1" applyProtection="1">
      <alignment horizontal="center" vertical="center" wrapText="1"/>
      <protection hidden="1"/>
    </xf>
    <xf numFmtId="0" fontId="18" fillId="6" borderId="26" xfId="0" applyFont="1" applyFill="1" applyBorder="1" applyAlignment="1" applyProtection="1">
      <alignment horizontal="center" vertical="center" wrapText="1"/>
      <protection hidden="1"/>
    </xf>
    <xf numFmtId="0" fontId="18" fillId="6" borderId="64" xfId="0" applyFont="1" applyFill="1" applyBorder="1" applyAlignment="1" applyProtection="1">
      <alignment horizontal="center" vertical="center" wrapText="1"/>
      <protection hidden="1"/>
    </xf>
    <xf numFmtId="0" fontId="9" fillId="6" borderId="30" xfId="0" applyFont="1" applyFill="1" applyBorder="1" applyAlignment="1" applyProtection="1">
      <alignment horizontal="center" vertical="center" textRotation="90" wrapText="1"/>
      <protection hidden="1"/>
    </xf>
    <xf numFmtId="0" fontId="9" fillId="6" borderId="35" xfId="0" applyFont="1" applyFill="1" applyBorder="1" applyAlignment="1" applyProtection="1">
      <alignment horizontal="center" vertical="center" textRotation="90" wrapText="1"/>
      <protection hidden="1"/>
    </xf>
    <xf numFmtId="0" fontId="9" fillId="6" borderId="0" xfId="0" applyFont="1" applyFill="1" applyBorder="1" applyAlignment="1" applyProtection="1">
      <alignment horizontal="center" vertical="center" textRotation="90" wrapText="1"/>
      <protection hidden="1"/>
    </xf>
    <xf numFmtId="0" fontId="9" fillId="6" borderId="37" xfId="0" applyFont="1" applyFill="1" applyBorder="1" applyAlignment="1" applyProtection="1">
      <alignment horizontal="center" vertical="center" textRotation="90" wrapText="1"/>
      <protection hidden="1"/>
    </xf>
    <xf numFmtId="0" fontId="22" fillId="6" borderId="40" xfId="0" quotePrefix="1" applyFont="1" applyFill="1" applyBorder="1" applyAlignment="1" applyProtection="1">
      <alignment horizontal="center" vertical="center" wrapText="1"/>
      <protection hidden="1"/>
    </xf>
    <xf numFmtId="0" fontId="9" fillId="6" borderId="52" xfId="0" applyFont="1" applyFill="1" applyBorder="1" applyAlignment="1" applyProtection="1">
      <alignment horizontal="center" vertical="center" textRotation="90" wrapText="1"/>
      <protection hidden="1"/>
    </xf>
    <xf numFmtId="0" fontId="9" fillId="6" borderId="50" xfId="0" applyFont="1" applyFill="1" applyBorder="1" applyAlignment="1" applyProtection="1">
      <alignment horizontal="center" vertical="center" textRotation="90" wrapText="1"/>
      <protection hidden="1"/>
    </xf>
    <xf numFmtId="0" fontId="9" fillId="6" borderId="9" xfId="0" applyFont="1" applyFill="1" applyBorder="1" applyAlignment="1" applyProtection="1">
      <alignment horizontal="center" vertical="center" textRotation="90" wrapText="1"/>
      <protection hidden="1"/>
    </xf>
    <xf numFmtId="0" fontId="9" fillId="6" borderId="12" xfId="0" applyFont="1" applyFill="1" applyBorder="1" applyAlignment="1" applyProtection="1">
      <alignment horizontal="center" vertical="center" textRotation="90" wrapText="1"/>
      <protection hidden="1"/>
    </xf>
    <xf numFmtId="168" fontId="8" fillId="11" borderId="52" xfId="0" applyNumberFormat="1" applyFont="1" applyFill="1" applyBorder="1" applyAlignment="1" applyProtection="1">
      <alignment horizontal="center" vertical="center"/>
      <protection locked="0"/>
    </xf>
    <xf numFmtId="168" fontId="8" fillId="11" borderId="30" xfId="0" applyNumberFormat="1" applyFont="1" applyFill="1" applyBorder="1" applyAlignment="1" applyProtection="1">
      <alignment horizontal="center" vertical="center"/>
      <protection locked="0"/>
    </xf>
    <xf numFmtId="168" fontId="8" fillId="11" borderId="148" xfId="0" applyNumberFormat="1" applyFont="1" applyFill="1" applyBorder="1" applyAlignment="1" applyProtection="1">
      <alignment horizontal="center" vertical="center"/>
      <protection locked="0"/>
    </xf>
    <xf numFmtId="168" fontId="8" fillId="11" borderId="149" xfId="0" applyNumberFormat="1" applyFont="1" applyFill="1" applyBorder="1" applyAlignment="1" applyProtection="1">
      <alignment horizontal="center" vertical="center"/>
      <protection locked="0"/>
    </xf>
    <xf numFmtId="0" fontId="57" fillId="6" borderId="63" xfId="0" applyFont="1" applyFill="1" applyBorder="1" applyAlignment="1" applyProtection="1">
      <alignment horizontal="center" vertical="center" wrapText="1"/>
      <protection hidden="1"/>
    </xf>
    <xf numFmtId="0" fontId="57" fillId="6" borderId="26" xfId="0" applyFont="1" applyFill="1" applyBorder="1" applyAlignment="1" applyProtection="1">
      <alignment horizontal="center" vertical="center" wrapText="1"/>
      <protection hidden="1"/>
    </xf>
    <xf numFmtId="0" fontId="57" fillId="6" borderId="64" xfId="0" applyFont="1" applyFill="1" applyBorder="1" applyAlignment="1" applyProtection="1">
      <alignment horizontal="center" vertical="center" wrapText="1"/>
      <protection hidden="1"/>
    </xf>
    <xf numFmtId="1" fontId="8" fillId="6" borderId="52" xfId="0" applyNumberFormat="1" applyFont="1" applyFill="1" applyBorder="1" applyAlignment="1" applyProtection="1">
      <alignment horizontal="center" vertical="center" wrapText="1"/>
      <protection hidden="1"/>
    </xf>
    <xf numFmtId="1" fontId="8" fillId="6" borderId="30" xfId="0" applyNumberFormat="1" applyFont="1" applyFill="1" applyBorder="1" applyAlignment="1" applyProtection="1">
      <alignment horizontal="center" vertical="center" wrapText="1"/>
      <protection hidden="1"/>
    </xf>
    <xf numFmtId="1" fontId="8" fillId="6" borderId="35" xfId="0" applyNumberFormat="1" applyFont="1" applyFill="1" applyBorder="1" applyAlignment="1" applyProtection="1">
      <alignment horizontal="center" vertical="center" wrapText="1"/>
      <protection hidden="1"/>
    </xf>
    <xf numFmtId="1" fontId="8" fillId="6" borderId="148" xfId="0" applyNumberFormat="1" applyFont="1" applyFill="1" applyBorder="1" applyAlignment="1" applyProtection="1">
      <alignment horizontal="center" vertical="center" wrapText="1"/>
      <protection hidden="1"/>
    </xf>
    <xf numFmtId="1" fontId="8" fillId="6" borderId="149" xfId="0" applyNumberFormat="1" applyFont="1" applyFill="1" applyBorder="1" applyAlignment="1" applyProtection="1">
      <alignment horizontal="center" vertical="center" wrapText="1"/>
      <protection hidden="1"/>
    </xf>
    <xf numFmtId="1" fontId="8" fillId="6" borderId="150" xfId="0" applyNumberFormat="1" applyFont="1" applyFill="1" applyBorder="1" applyAlignment="1" applyProtection="1">
      <alignment horizontal="center" vertical="center" wrapText="1"/>
      <protection hidden="1"/>
    </xf>
    <xf numFmtId="0" fontId="9" fillId="6" borderId="34" xfId="0" applyFont="1" applyFill="1" applyBorder="1" applyAlignment="1" applyProtection="1">
      <alignment horizontal="center" vertical="center" textRotation="90" wrapText="1"/>
      <protection hidden="1"/>
    </xf>
    <xf numFmtId="0" fontId="9" fillId="6" borderId="36" xfId="0" applyFont="1" applyFill="1" applyBorder="1" applyAlignment="1" applyProtection="1">
      <alignment horizontal="center" vertical="center" textRotation="90" wrapText="1"/>
      <protection hidden="1"/>
    </xf>
    <xf numFmtId="0" fontId="9" fillId="6" borderId="121" xfId="0" applyFont="1" applyFill="1" applyBorder="1" applyAlignment="1" applyProtection="1">
      <alignment horizontal="center" vertical="center" textRotation="90" wrapText="1"/>
      <protection hidden="1"/>
    </xf>
    <xf numFmtId="0" fontId="9" fillId="6" borderId="5" xfId="0" applyFont="1" applyFill="1" applyBorder="1" applyAlignment="1" applyProtection="1">
      <alignment horizontal="center" vertical="center" textRotation="90" wrapText="1"/>
      <protection hidden="1"/>
    </xf>
    <xf numFmtId="0" fontId="9" fillId="6" borderId="15" xfId="0" applyFont="1" applyFill="1" applyBorder="1" applyAlignment="1" applyProtection="1">
      <alignment horizontal="center" vertical="center" textRotation="90" wrapText="1"/>
      <protection hidden="1"/>
    </xf>
    <xf numFmtId="0" fontId="9" fillId="6" borderId="151" xfId="0" applyFont="1" applyFill="1" applyBorder="1" applyAlignment="1" applyProtection="1">
      <alignment horizontal="center" vertical="center" textRotation="90" wrapText="1"/>
      <protection hidden="1"/>
    </xf>
    <xf numFmtId="0" fontId="9" fillId="6" borderId="47" xfId="0" applyFont="1" applyFill="1" applyBorder="1" applyAlignment="1" applyProtection="1">
      <alignment horizontal="center" vertical="center" textRotation="90" wrapText="1"/>
      <protection hidden="1"/>
    </xf>
    <xf numFmtId="0" fontId="9" fillId="6" borderId="69" xfId="0" applyFont="1" applyFill="1" applyBorder="1" applyAlignment="1" applyProtection="1">
      <alignment horizontal="center" vertical="center" textRotation="90" wrapText="1"/>
      <protection hidden="1"/>
    </xf>
    <xf numFmtId="0" fontId="8" fillId="13" borderId="152" xfId="0" applyFont="1" applyFill="1" applyBorder="1" applyAlignment="1" applyProtection="1">
      <alignment horizontal="center" vertical="center" textRotation="90"/>
      <protection locked="0"/>
    </xf>
    <xf numFmtId="0" fontId="8" fillId="13" borderId="5" xfId="0" applyFont="1" applyFill="1" applyBorder="1" applyAlignment="1" applyProtection="1">
      <alignment horizontal="center" vertical="center" textRotation="90"/>
      <protection locked="0"/>
    </xf>
    <xf numFmtId="0" fontId="8" fillId="13" borderId="154" xfId="0" applyFont="1" applyFill="1" applyBorder="1" applyAlignment="1" applyProtection="1">
      <alignment horizontal="center" vertical="center" textRotation="90"/>
      <protection locked="0"/>
    </xf>
    <xf numFmtId="2" fontId="5" fillId="6" borderId="8" xfId="0" applyNumberFormat="1" applyFont="1" applyFill="1" applyBorder="1" applyAlignment="1" applyProtection="1">
      <alignment horizontal="center" vertical="center" wrapText="1"/>
      <protection hidden="1"/>
    </xf>
    <xf numFmtId="2" fontId="5" fillId="6" borderId="6" xfId="0" applyNumberFormat="1" applyFont="1" applyFill="1" applyBorder="1" applyAlignment="1" applyProtection="1">
      <alignment horizontal="center" vertical="center" wrapText="1"/>
      <protection hidden="1"/>
    </xf>
    <xf numFmtId="2" fontId="5" fillId="6" borderId="45" xfId="0" applyNumberFormat="1" applyFont="1" applyFill="1" applyBorder="1" applyAlignment="1" applyProtection="1">
      <alignment horizontal="center" vertical="center" wrapText="1"/>
      <protection hidden="1"/>
    </xf>
    <xf numFmtId="0" fontId="8" fillId="13" borderId="152" xfId="0" applyFont="1" applyFill="1" applyBorder="1" applyAlignment="1" applyProtection="1">
      <alignment horizontal="center" vertical="center" textRotation="90" wrapText="1"/>
      <protection locked="0"/>
    </xf>
    <xf numFmtId="0" fontId="8" fillId="13" borderId="153" xfId="0" applyFont="1" applyFill="1" applyBorder="1" applyAlignment="1" applyProtection="1">
      <alignment horizontal="center" vertical="center" textRotation="90" wrapText="1"/>
      <protection locked="0"/>
    </xf>
    <xf numFmtId="0" fontId="8" fillId="13" borderId="5" xfId="0" applyFont="1" applyFill="1" applyBorder="1" applyAlignment="1" applyProtection="1">
      <alignment horizontal="center" vertical="center" textRotation="90" wrapText="1"/>
      <protection locked="0"/>
    </xf>
    <xf numFmtId="0" fontId="8" fillId="13" borderId="47" xfId="0" applyFont="1" applyFill="1" applyBorder="1" applyAlignment="1" applyProtection="1">
      <alignment horizontal="center" vertical="center" textRotation="90" wrapText="1"/>
      <protection locked="0"/>
    </xf>
    <xf numFmtId="0" fontId="8" fillId="13" borderId="154" xfId="0" applyFont="1" applyFill="1" applyBorder="1" applyAlignment="1" applyProtection="1">
      <alignment horizontal="center" vertical="center" textRotation="90" wrapText="1"/>
      <protection locked="0"/>
    </xf>
    <xf numFmtId="0" fontId="8" fillId="13" borderId="155" xfId="0" applyFont="1" applyFill="1" applyBorder="1" applyAlignment="1" applyProtection="1">
      <alignment horizontal="center" vertical="center" textRotation="90" wrapText="1"/>
      <protection locked="0"/>
    </xf>
    <xf numFmtId="166" fontId="5" fillId="6" borderId="16" xfId="0" applyNumberFormat="1" applyFont="1" applyFill="1" applyBorder="1" applyAlignment="1" applyProtection="1">
      <alignment horizontal="center" vertical="center" wrapText="1"/>
      <protection hidden="1"/>
    </xf>
    <xf numFmtId="166" fontId="5" fillId="6" borderId="13" xfId="0" applyNumberFormat="1" applyFont="1" applyFill="1" applyBorder="1" applyAlignment="1" applyProtection="1">
      <alignment horizontal="center" vertical="center" wrapText="1"/>
      <protection hidden="1"/>
    </xf>
    <xf numFmtId="166" fontId="5" fillId="6" borderId="147" xfId="0" applyNumberFormat="1" applyFont="1" applyFill="1" applyBorder="1" applyAlignment="1" applyProtection="1">
      <alignment horizontal="center" vertical="center" wrapText="1"/>
      <protection hidden="1"/>
    </xf>
    <xf numFmtId="0" fontId="97" fillId="6" borderId="63" xfId="0" applyFont="1" applyFill="1" applyBorder="1" applyAlignment="1" applyProtection="1">
      <alignment horizontal="center" vertical="center" wrapText="1"/>
      <protection hidden="1"/>
    </xf>
    <xf numFmtId="0" fontId="97" fillId="6" borderId="26" xfId="0" applyFont="1" applyFill="1" applyBorder="1" applyAlignment="1" applyProtection="1">
      <alignment horizontal="center" vertical="center" wrapText="1"/>
      <protection hidden="1"/>
    </xf>
    <xf numFmtId="174" fontId="55" fillId="6" borderId="34" xfId="0" applyNumberFormat="1" applyFont="1" applyFill="1" applyBorder="1" applyAlignment="1" applyProtection="1">
      <alignment horizontal="center" vertical="center"/>
      <protection hidden="1"/>
    </xf>
    <xf numFmtId="174" fontId="55" fillId="6" borderId="30" xfId="0" applyNumberFormat="1" applyFont="1" applyFill="1" applyBorder="1" applyAlignment="1" applyProtection="1">
      <alignment horizontal="center" vertical="center"/>
      <protection hidden="1"/>
    </xf>
    <xf numFmtId="174" fontId="55" fillId="6" borderId="35" xfId="0" applyNumberFormat="1" applyFont="1" applyFill="1" applyBorder="1" applyAlignment="1" applyProtection="1">
      <alignment horizontal="center" vertical="center"/>
      <protection hidden="1"/>
    </xf>
    <xf numFmtId="2" fontId="5" fillId="6" borderId="9" xfId="0" applyNumberFormat="1" applyFont="1" applyFill="1" applyBorder="1" applyAlignment="1" applyProtection="1">
      <alignment horizontal="center" vertical="center" wrapText="1"/>
      <protection hidden="1"/>
    </xf>
    <xf numFmtId="2" fontId="5" fillId="6" borderId="0" xfId="0" applyNumberFormat="1" applyFont="1" applyFill="1" applyBorder="1" applyAlignment="1" applyProtection="1">
      <alignment horizontal="center" vertical="center" wrapText="1"/>
      <protection hidden="1"/>
    </xf>
    <xf numFmtId="166" fontId="5" fillId="6" borderId="8" xfId="0" applyNumberFormat="1" applyFont="1" applyFill="1" applyBorder="1" applyAlignment="1" applyProtection="1">
      <alignment horizontal="center" vertical="center" wrapText="1"/>
      <protection hidden="1"/>
    </xf>
    <xf numFmtId="166" fontId="5" fillId="6" borderId="6" xfId="0" applyNumberFormat="1" applyFont="1" applyFill="1" applyBorder="1" applyAlignment="1" applyProtection="1">
      <alignment horizontal="center" vertical="center" wrapText="1"/>
      <protection hidden="1"/>
    </xf>
    <xf numFmtId="2" fontId="39" fillId="6" borderId="44" xfId="0" applyNumberFormat="1" applyFont="1" applyFill="1" applyBorder="1" applyAlignment="1" applyProtection="1">
      <alignment horizontal="center" vertical="center"/>
      <protection hidden="1"/>
    </xf>
    <xf numFmtId="2" fontId="39" fillId="6" borderId="5" xfId="0" applyNumberFormat="1" applyFont="1" applyFill="1" applyBorder="1" applyAlignment="1" applyProtection="1">
      <alignment horizontal="center" vertical="center"/>
      <protection hidden="1"/>
    </xf>
    <xf numFmtId="164" fontId="5" fillId="6" borderId="48" xfId="0" applyNumberFormat="1" applyFont="1" applyFill="1" applyBorder="1" applyAlignment="1" applyProtection="1">
      <alignment horizontal="center" vertical="center" wrapText="1"/>
      <protection hidden="1"/>
    </xf>
    <xf numFmtId="164" fontId="5" fillId="6" borderId="6" xfId="0" applyNumberFormat="1" applyFont="1" applyFill="1" applyBorder="1" applyAlignment="1" applyProtection="1">
      <alignment horizontal="center" vertical="center" wrapText="1"/>
      <protection hidden="1"/>
    </xf>
    <xf numFmtId="164" fontId="5" fillId="6" borderId="8" xfId="0" applyNumberFormat="1" applyFont="1" applyFill="1" applyBorder="1" applyAlignment="1" applyProtection="1">
      <alignment horizontal="center" vertical="center" wrapText="1"/>
      <protection hidden="1"/>
    </xf>
    <xf numFmtId="166" fontId="0" fillId="6" borderId="47" xfId="0" applyNumberFormat="1" applyFont="1" applyFill="1" applyBorder="1" applyAlignment="1" applyProtection="1">
      <alignment horizontal="center" vertical="center"/>
      <protection hidden="1"/>
    </xf>
    <xf numFmtId="166" fontId="0" fillId="6" borderId="7" xfId="0" applyNumberFormat="1" applyFont="1" applyFill="1" applyBorder="1" applyAlignment="1" applyProtection="1">
      <alignment horizontal="center" vertical="center"/>
      <protection hidden="1"/>
    </xf>
    <xf numFmtId="0" fontId="19" fillId="6" borderId="83" xfId="0" applyFont="1" applyFill="1" applyBorder="1" applyAlignment="1" applyProtection="1">
      <alignment horizontal="center" vertical="center"/>
      <protection hidden="1"/>
    </xf>
    <xf numFmtId="0" fontId="19" fillId="6" borderId="5" xfId="0" applyFont="1" applyFill="1" applyBorder="1" applyAlignment="1" applyProtection="1">
      <alignment horizontal="center" vertical="center"/>
      <protection hidden="1"/>
    </xf>
    <xf numFmtId="2" fontId="19" fillId="6" borderId="8" xfId="0" applyNumberFormat="1" applyFont="1" applyFill="1" applyBorder="1" applyAlignment="1" applyProtection="1">
      <alignment horizontal="center" vertical="center"/>
      <protection hidden="1"/>
    </xf>
    <xf numFmtId="2" fontId="19" fillId="6" borderId="6" xfId="0" applyNumberFormat="1" applyFont="1" applyFill="1" applyBorder="1" applyAlignment="1" applyProtection="1">
      <alignment horizontal="center" vertical="center"/>
      <protection hidden="1"/>
    </xf>
    <xf numFmtId="2" fontId="19" fillId="6" borderId="7" xfId="0" applyNumberFormat="1" applyFont="1" applyFill="1" applyBorder="1" applyAlignment="1" applyProtection="1">
      <alignment horizontal="center" vertical="center"/>
      <protection hidden="1"/>
    </xf>
    <xf numFmtId="1" fontId="19" fillId="6" borderId="5" xfId="0" applyNumberFormat="1" applyFont="1" applyFill="1" applyBorder="1" applyAlignment="1" applyProtection="1">
      <alignment horizontal="center" vertical="center"/>
      <protection hidden="1"/>
    </xf>
    <xf numFmtId="0" fontId="19" fillId="6" borderId="8" xfId="0" applyFont="1" applyFill="1" applyBorder="1" applyAlignment="1" applyProtection="1">
      <alignment horizontal="center" vertical="center"/>
      <protection hidden="1"/>
    </xf>
    <xf numFmtId="0" fontId="19" fillId="6" borderId="6" xfId="0" applyFont="1" applyFill="1" applyBorder="1" applyAlignment="1" applyProtection="1">
      <alignment horizontal="center" vertical="center"/>
      <protection hidden="1"/>
    </xf>
    <xf numFmtId="2" fontId="19" fillId="6" borderId="5" xfId="0" applyNumberFormat="1" applyFont="1" applyFill="1" applyBorder="1" applyAlignment="1" applyProtection="1">
      <alignment horizontal="center" vertical="center"/>
      <protection hidden="1"/>
    </xf>
    <xf numFmtId="2" fontId="5" fillId="6" borderId="48" xfId="0" applyNumberFormat="1" applyFont="1" applyFill="1" applyBorder="1" applyAlignment="1" applyProtection="1">
      <alignment horizontal="center" vertical="center" wrapText="1"/>
      <protection hidden="1"/>
    </xf>
    <xf numFmtId="166" fontId="67" fillId="6" borderId="44" xfId="0" applyNumberFormat="1" applyFont="1" applyFill="1" applyBorder="1" applyAlignment="1" applyProtection="1">
      <alignment horizontal="center" vertical="center"/>
      <protection hidden="1"/>
    </xf>
    <xf numFmtId="166" fontId="0" fillId="6" borderId="8" xfId="0" applyNumberFormat="1" applyFont="1" applyFill="1" applyBorder="1" applyAlignment="1" applyProtection="1">
      <alignment horizontal="center" vertical="center"/>
      <protection hidden="1"/>
    </xf>
    <xf numFmtId="173" fontId="55" fillId="6" borderId="118" xfId="0" applyNumberFormat="1" applyFont="1" applyFill="1" applyBorder="1" applyAlignment="1" applyProtection="1">
      <alignment horizontal="center" vertical="center"/>
      <protection hidden="1"/>
    </xf>
    <xf numFmtId="173" fontId="55" fillId="6" borderId="61" xfId="0" applyNumberFormat="1" applyFont="1" applyFill="1" applyBorder="1" applyAlignment="1" applyProtection="1">
      <alignment horizontal="center" vertical="center"/>
      <protection hidden="1"/>
    </xf>
    <xf numFmtId="173" fontId="55" fillId="6" borderId="131" xfId="0" applyNumberFormat="1" applyFont="1" applyFill="1" applyBorder="1" applyAlignment="1" applyProtection="1">
      <alignment horizontal="center" vertical="center"/>
      <protection hidden="1"/>
    </xf>
    <xf numFmtId="0" fontId="10" fillId="6" borderId="54" xfId="0" applyFont="1" applyFill="1" applyBorder="1" applyAlignment="1" applyProtection="1">
      <alignment horizontal="center" vertical="center" textRotation="90" wrapText="1"/>
      <protection hidden="1"/>
    </xf>
    <xf numFmtId="0" fontId="10" fillId="6" borderId="52" xfId="0" applyFont="1" applyFill="1" applyBorder="1" applyAlignment="1" applyProtection="1">
      <alignment horizontal="center" vertical="center" textRotation="90" wrapText="1"/>
      <protection hidden="1"/>
    </xf>
    <xf numFmtId="0" fontId="10" fillId="6" borderId="46" xfId="0" applyFont="1" applyFill="1" applyBorder="1" applyAlignment="1" applyProtection="1">
      <alignment horizontal="center" vertical="center" textRotation="90" wrapText="1"/>
      <protection hidden="1"/>
    </xf>
    <xf numFmtId="0" fontId="10" fillId="6" borderId="9" xfId="0" applyFont="1" applyFill="1" applyBorder="1" applyAlignment="1" applyProtection="1">
      <alignment horizontal="center" vertical="center" textRotation="90" wrapText="1"/>
      <protection hidden="1"/>
    </xf>
    <xf numFmtId="0" fontId="22" fillId="6" borderId="55" xfId="0" quotePrefix="1" applyFont="1" applyFill="1" applyBorder="1" applyAlignment="1" applyProtection="1">
      <alignment horizontal="center" vertical="center" wrapText="1"/>
      <protection hidden="1"/>
    </xf>
    <xf numFmtId="0" fontId="22" fillId="6" borderId="56" xfId="0" applyFont="1" applyFill="1" applyBorder="1" applyAlignment="1" applyProtection="1">
      <alignment horizontal="center" vertical="center" wrapText="1"/>
      <protection hidden="1"/>
    </xf>
    <xf numFmtId="0" fontId="22" fillId="6" borderId="25" xfId="0" applyFont="1" applyFill="1" applyBorder="1" applyAlignment="1" applyProtection="1">
      <alignment horizontal="center" vertical="center" wrapText="1"/>
      <protection hidden="1"/>
    </xf>
    <xf numFmtId="166" fontId="0" fillId="6" borderId="58" xfId="0" applyNumberFormat="1" applyFont="1" applyFill="1" applyBorder="1" applyAlignment="1" applyProtection="1">
      <alignment horizontal="center" vertical="center"/>
      <protection hidden="1"/>
    </xf>
    <xf numFmtId="166" fontId="0" fillId="6" borderId="59" xfId="0" applyNumberFormat="1" applyFont="1" applyFill="1" applyBorder="1" applyAlignment="1" applyProtection="1">
      <alignment horizontal="center" vertical="center"/>
      <protection hidden="1"/>
    </xf>
    <xf numFmtId="166" fontId="0" fillId="6" borderId="60" xfId="0" applyNumberFormat="1" applyFont="1" applyFill="1" applyBorder="1" applyAlignment="1" applyProtection="1">
      <alignment horizontal="center" vertical="center"/>
      <protection hidden="1"/>
    </xf>
    <xf numFmtId="0" fontId="10" fillId="6" borderId="50" xfId="0" applyFont="1" applyFill="1" applyBorder="1" applyAlignment="1" applyProtection="1">
      <alignment horizontal="center" vertical="center" textRotation="90" wrapText="1"/>
      <protection hidden="1"/>
    </xf>
    <xf numFmtId="0" fontId="10" fillId="6" borderId="12" xfId="0" applyFont="1" applyFill="1" applyBorder="1" applyAlignment="1" applyProtection="1">
      <alignment horizontal="center" vertical="center" textRotation="90" wrapText="1"/>
      <protection hidden="1"/>
    </xf>
    <xf numFmtId="0" fontId="58" fillId="6" borderId="52" xfId="0" applyFont="1" applyFill="1" applyBorder="1" applyAlignment="1" applyProtection="1">
      <alignment horizontal="center" vertical="center" wrapText="1"/>
      <protection hidden="1"/>
    </xf>
    <xf numFmtId="0" fontId="58" fillId="6" borderId="30" xfId="0" applyFont="1" applyFill="1" applyBorder="1" applyAlignment="1" applyProtection="1">
      <alignment horizontal="center" vertical="center" wrapText="1"/>
      <protection hidden="1"/>
    </xf>
    <xf numFmtId="0" fontId="58" fillId="6" borderId="9" xfId="0"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wrapText="1"/>
      <protection hidden="1"/>
    </xf>
    <xf numFmtId="164" fontId="5" fillId="6" borderId="60" xfId="0" applyNumberFormat="1" applyFont="1" applyFill="1" applyBorder="1" applyAlignment="1" applyProtection="1">
      <alignment horizontal="center" vertical="center" wrapText="1"/>
      <protection hidden="1"/>
    </xf>
    <xf numFmtId="164" fontId="5" fillId="6" borderId="61" xfId="0" applyNumberFormat="1" applyFont="1" applyFill="1" applyBorder="1" applyAlignment="1" applyProtection="1">
      <alignment horizontal="center" vertical="center" wrapText="1"/>
      <protection hidden="1"/>
    </xf>
    <xf numFmtId="2" fontId="5" fillId="6" borderId="118" xfId="0" applyNumberFormat="1" applyFont="1" applyFill="1" applyBorder="1" applyAlignment="1" applyProtection="1">
      <alignment horizontal="center" vertical="center" wrapText="1"/>
      <protection hidden="1"/>
    </xf>
    <xf numFmtId="2" fontId="5" fillId="6" borderId="61" xfId="0" applyNumberFormat="1" applyFont="1" applyFill="1" applyBorder="1" applyAlignment="1" applyProtection="1">
      <alignment horizontal="center" vertical="center" wrapText="1"/>
      <protection hidden="1"/>
    </xf>
    <xf numFmtId="166" fontId="5" fillId="6" borderId="60" xfId="0" applyNumberFormat="1" applyFont="1" applyFill="1" applyBorder="1" applyAlignment="1" applyProtection="1">
      <alignment horizontal="center" vertical="center" wrapText="1"/>
      <protection hidden="1"/>
    </xf>
    <xf numFmtId="166" fontId="5" fillId="6" borderId="61" xfId="0" applyNumberFormat="1" applyFont="1" applyFill="1" applyBorder="1" applyAlignment="1" applyProtection="1">
      <alignment horizontal="center" vertical="center" wrapText="1"/>
      <protection hidden="1"/>
    </xf>
    <xf numFmtId="166" fontId="0" fillId="6" borderId="61" xfId="0" applyNumberFormat="1" applyFont="1" applyFill="1" applyBorder="1" applyAlignment="1" applyProtection="1">
      <alignment horizontal="center" vertical="center"/>
      <protection hidden="1"/>
    </xf>
    <xf numFmtId="166" fontId="0" fillId="6" borderId="62" xfId="0" applyNumberFormat="1" applyFont="1" applyFill="1" applyBorder="1" applyAlignment="1" applyProtection="1">
      <alignment horizontal="center" vertical="center"/>
      <protection hidden="1"/>
    </xf>
    <xf numFmtId="166" fontId="0" fillId="6" borderId="53" xfId="0" applyNumberFormat="1" applyFont="1" applyFill="1" applyBorder="1" applyAlignment="1" applyProtection="1">
      <alignment horizontal="center" vertical="center"/>
      <protection hidden="1"/>
    </xf>
    <xf numFmtId="0" fontId="8" fillId="3" borderId="35"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14" fillId="3" borderId="31" xfId="0" applyFont="1" applyFill="1" applyBorder="1" applyAlignment="1" applyProtection="1">
      <alignment horizontal="center" vertical="center"/>
      <protection hidden="1"/>
    </xf>
    <xf numFmtId="0" fontId="14" fillId="3" borderId="26" xfId="0" applyFont="1" applyFill="1" applyBorder="1" applyAlignment="1" applyProtection="1">
      <alignment horizontal="center" vertical="center"/>
      <protection hidden="1"/>
    </xf>
    <xf numFmtId="0" fontId="18" fillId="3" borderId="31" xfId="0" applyFont="1" applyFill="1" applyBorder="1" applyAlignment="1" applyProtection="1">
      <alignment horizontal="left" vertical="center"/>
      <protection hidden="1"/>
    </xf>
    <xf numFmtId="0" fontId="18" fillId="3" borderId="26" xfId="0" applyFont="1" applyFill="1" applyBorder="1" applyAlignment="1" applyProtection="1">
      <alignment horizontal="left" vertical="center"/>
      <protection hidden="1"/>
    </xf>
    <xf numFmtId="0" fontId="18" fillId="3" borderId="76" xfId="0" applyFont="1" applyFill="1" applyBorder="1" applyAlignment="1" applyProtection="1">
      <alignment horizontal="left" vertical="center"/>
      <protection hidden="1"/>
    </xf>
    <xf numFmtId="0" fontId="8" fillId="3" borderId="114" xfId="0" applyFont="1" applyFill="1" applyBorder="1" applyAlignment="1" applyProtection="1">
      <alignment horizontal="center" vertical="center"/>
      <protection hidden="1"/>
    </xf>
    <xf numFmtId="0" fontId="8" fillId="3" borderId="72" xfId="0" applyFont="1" applyFill="1" applyBorder="1" applyAlignment="1" applyProtection="1">
      <alignment horizontal="center" vertical="center"/>
      <protection hidden="1"/>
    </xf>
    <xf numFmtId="0" fontId="8" fillId="3" borderId="119" xfId="0" applyFont="1" applyFill="1" applyBorder="1" applyAlignment="1" applyProtection="1">
      <alignment horizontal="center" vertical="center"/>
      <protection hidden="1"/>
    </xf>
    <xf numFmtId="0" fontId="13" fillId="3" borderId="108" xfId="0" applyFont="1" applyFill="1" applyBorder="1" applyAlignment="1" applyProtection="1">
      <alignment horizontal="left" vertical="center"/>
      <protection hidden="1"/>
    </xf>
    <xf numFmtId="0" fontId="13" fillId="3" borderId="28" xfId="0" applyFont="1" applyFill="1" applyBorder="1" applyAlignment="1" applyProtection="1">
      <alignment horizontal="left" vertical="center"/>
      <protection hidden="1"/>
    </xf>
    <xf numFmtId="0" fontId="13" fillId="3" borderId="106" xfId="0" applyFont="1" applyFill="1" applyBorder="1" applyAlignment="1" applyProtection="1">
      <alignment horizontal="left" vertical="center"/>
      <protection hidden="1"/>
    </xf>
    <xf numFmtId="0" fontId="13" fillId="3" borderId="96" xfId="0" applyFont="1" applyFill="1" applyBorder="1" applyAlignment="1" applyProtection="1">
      <alignment horizontal="left" vertical="center"/>
      <protection hidden="1"/>
    </xf>
    <xf numFmtId="0" fontId="8" fillId="3" borderId="101" xfId="0" applyFont="1" applyFill="1" applyBorder="1" applyAlignment="1" applyProtection="1">
      <alignment horizontal="center" vertical="center"/>
      <protection hidden="1"/>
    </xf>
    <xf numFmtId="0" fontId="19" fillId="6" borderId="82" xfId="0" applyFont="1" applyFill="1" applyBorder="1" applyAlignment="1" applyProtection="1">
      <alignment horizontal="center" vertical="center"/>
      <protection hidden="1"/>
    </xf>
    <xf numFmtId="0" fontId="19" fillId="6" borderId="59" xfId="0" applyFont="1" applyFill="1" applyBorder="1" applyAlignment="1" applyProtection="1">
      <alignment horizontal="center" vertical="center"/>
      <protection hidden="1"/>
    </xf>
    <xf numFmtId="2" fontId="19" fillId="6" borderId="60" xfId="0" applyNumberFormat="1" applyFont="1" applyFill="1" applyBorder="1" applyAlignment="1" applyProtection="1">
      <alignment horizontal="center" vertical="center"/>
      <protection hidden="1"/>
    </xf>
    <xf numFmtId="2" fontId="19" fillId="6" borderId="61" xfId="0" applyNumberFormat="1" applyFont="1" applyFill="1" applyBorder="1" applyAlignment="1" applyProtection="1">
      <alignment horizontal="center" vertical="center"/>
      <protection hidden="1"/>
    </xf>
    <xf numFmtId="2" fontId="19" fillId="6" borderId="62" xfId="0" applyNumberFormat="1" applyFont="1" applyFill="1" applyBorder="1" applyAlignment="1" applyProtection="1">
      <alignment horizontal="center" vertical="center"/>
      <protection hidden="1"/>
    </xf>
    <xf numFmtId="1" fontId="19" fillId="6" borderId="59" xfId="0" applyNumberFormat="1" applyFont="1" applyFill="1" applyBorder="1" applyAlignment="1" applyProtection="1">
      <alignment horizontal="center" vertical="center"/>
      <protection hidden="1"/>
    </xf>
    <xf numFmtId="0" fontId="19" fillId="6" borderId="60" xfId="0" applyFont="1" applyFill="1" applyBorder="1" applyAlignment="1" applyProtection="1">
      <alignment horizontal="center" vertical="center"/>
      <protection hidden="1"/>
    </xf>
    <xf numFmtId="0" fontId="19" fillId="6" borderId="61" xfId="0" applyFont="1" applyFill="1" applyBorder="1" applyAlignment="1" applyProtection="1">
      <alignment horizontal="center" vertical="center"/>
      <protection hidden="1"/>
    </xf>
    <xf numFmtId="0" fontId="57" fillId="6" borderId="34" xfId="0" quotePrefix="1" applyFont="1" applyFill="1" applyBorder="1" applyAlignment="1" applyProtection="1">
      <alignment horizontal="center" vertical="center"/>
      <protection hidden="1"/>
    </xf>
    <xf numFmtId="0" fontId="57" fillId="6" borderId="30" xfId="0" quotePrefix="1" applyFont="1" applyFill="1" applyBorder="1" applyAlignment="1" applyProtection="1">
      <alignment horizontal="center" vertical="center"/>
      <protection hidden="1"/>
    </xf>
    <xf numFmtId="0" fontId="57" fillId="6" borderId="35" xfId="0" quotePrefix="1" applyFont="1" applyFill="1" applyBorder="1" applyAlignment="1" applyProtection="1">
      <alignment horizontal="center" vertical="center"/>
      <protection hidden="1"/>
    </xf>
    <xf numFmtId="0" fontId="65" fillId="6" borderId="51" xfId="0" applyFont="1" applyFill="1" applyBorder="1" applyAlignment="1" applyProtection="1">
      <alignment horizontal="center" vertical="center" wrapText="1"/>
      <protection hidden="1"/>
    </xf>
    <xf numFmtId="0" fontId="57" fillId="6" borderId="51" xfId="0" applyFont="1" applyFill="1" applyBorder="1" applyAlignment="1" applyProtection="1">
      <alignment horizontal="center" vertical="center" wrapText="1"/>
      <protection hidden="1"/>
    </xf>
    <xf numFmtId="0" fontId="65" fillId="6" borderId="10" xfId="0" applyFont="1" applyFill="1" applyBorder="1" applyAlignment="1" applyProtection="1">
      <alignment horizontal="center" vertical="center" wrapText="1"/>
      <protection hidden="1"/>
    </xf>
    <xf numFmtId="0" fontId="57" fillId="6" borderId="10" xfId="0" applyFont="1" applyFill="1" applyBorder="1" applyAlignment="1" applyProtection="1">
      <alignment horizontal="center" vertical="center" wrapText="1"/>
      <protection hidden="1"/>
    </xf>
    <xf numFmtId="2" fontId="19" fillId="6" borderId="59" xfId="0" applyNumberFormat="1" applyFont="1" applyFill="1" applyBorder="1" applyAlignment="1" applyProtection="1">
      <alignment horizontal="center" vertical="center"/>
      <protection hidden="1"/>
    </xf>
    <xf numFmtId="166" fontId="0" fillId="6" borderId="6" xfId="0" applyNumberFormat="1" applyFont="1" applyFill="1" applyBorder="1" applyAlignment="1" applyProtection="1">
      <alignment horizontal="center" vertical="center"/>
      <protection hidden="1"/>
    </xf>
    <xf numFmtId="0" fontId="13" fillId="6" borderId="52" xfId="0" applyFont="1" applyFill="1" applyBorder="1" applyAlignment="1" applyProtection="1">
      <alignment horizontal="center" wrapText="1"/>
      <protection hidden="1"/>
    </xf>
    <xf numFmtId="0" fontId="13" fillId="6" borderId="30" xfId="0" applyFont="1" applyFill="1" applyBorder="1" applyAlignment="1" applyProtection="1">
      <alignment horizontal="center" wrapText="1"/>
      <protection hidden="1"/>
    </xf>
    <xf numFmtId="0" fontId="13" fillId="6" borderId="35" xfId="0" applyFont="1" applyFill="1" applyBorder="1" applyAlignment="1" applyProtection="1">
      <alignment horizontal="center" wrapText="1"/>
      <protection hidden="1"/>
    </xf>
    <xf numFmtId="0" fontId="13" fillId="6" borderId="9" xfId="0" applyFont="1" applyFill="1" applyBorder="1" applyAlignment="1" applyProtection="1">
      <alignment horizontal="center" wrapText="1"/>
      <protection hidden="1"/>
    </xf>
    <xf numFmtId="0" fontId="13" fillId="6" borderId="0" xfId="0" applyFont="1" applyFill="1" applyBorder="1" applyAlignment="1" applyProtection="1">
      <alignment horizontal="center" wrapText="1"/>
      <protection hidden="1"/>
    </xf>
    <xf numFmtId="0" fontId="13" fillId="6" borderId="37" xfId="0" applyFont="1" applyFill="1" applyBorder="1" applyAlignment="1" applyProtection="1">
      <alignment horizontal="center" wrapText="1"/>
      <protection hidden="1"/>
    </xf>
    <xf numFmtId="0" fontId="9" fillId="6" borderId="9" xfId="0" applyFont="1" applyFill="1" applyBorder="1" applyAlignment="1" applyProtection="1">
      <alignment horizontal="center" vertical="top" wrapText="1"/>
      <protection hidden="1"/>
    </xf>
    <xf numFmtId="0" fontId="23" fillId="6" borderId="0" xfId="0" applyFont="1" applyFill="1" applyBorder="1" applyAlignment="1" applyProtection="1">
      <alignment horizontal="center" vertical="top" wrapText="1"/>
      <protection hidden="1"/>
    </xf>
    <xf numFmtId="0" fontId="23" fillId="6" borderId="37" xfId="0" applyFont="1" applyFill="1" applyBorder="1" applyAlignment="1" applyProtection="1">
      <alignment horizontal="center" vertical="top" wrapText="1"/>
      <protection hidden="1"/>
    </xf>
    <xf numFmtId="0" fontId="62" fillId="6" borderId="51" xfId="0" applyFont="1" applyFill="1" applyBorder="1" applyAlignment="1" applyProtection="1">
      <alignment horizontal="center" vertical="center" textRotation="90" wrapText="1"/>
      <protection hidden="1"/>
    </xf>
    <xf numFmtId="0" fontId="62" fillId="6" borderId="10" xfId="0" applyFont="1" applyFill="1" applyBorder="1" applyAlignment="1" applyProtection="1">
      <alignment horizontal="center" vertical="center" textRotation="90" wrapText="1"/>
      <protection hidden="1"/>
    </xf>
    <xf numFmtId="0" fontId="10" fillId="6" borderId="30" xfId="0" applyFont="1" applyFill="1" applyBorder="1" applyAlignment="1" applyProtection="1">
      <alignment horizontal="center" vertical="center" textRotation="90" wrapText="1"/>
      <protection hidden="1"/>
    </xf>
    <xf numFmtId="0" fontId="37" fillId="6" borderId="81" xfId="0" quotePrefix="1" applyFont="1" applyFill="1" applyBorder="1" applyAlignment="1" applyProtection="1">
      <alignment horizontal="center" vertical="center"/>
      <protection hidden="1"/>
    </xf>
    <xf numFmtId="0" fontId="37" fillId="6" borderId="23" xfId="0" quotePrefix="1" applyFont="1" applyFill="1" applyBorder="1" applyAlignment="1" applyProtection="1">
      <alignment horizontal="center" vertical="center"/>
      <protection hidden="1"/>
    </xf>
    <xf numFmtId="0" fontId="37" fillId="6" borderId="24" xfId="0" quotePrefix="1" applyFont="1" applyFill="1" applyBorder="1" applyAlignment="1" applyProtection="1">
      <alignment horizontal="center" vertical="center"/>
      <protection hidden="1"/>
    </xf>
    <xf numFmtId="0" fontId="37" fillId="6" borderId="25" xfId="0" quotePrefix="1" applyFont="1" applyFill="1" applyBorder="1" applyAlignment="1" applyProtection="1">
      <alignment horizontal="center" vertical="center" wrapText="1"/>
      <protection hidden="1"/>
    </xf>
    <xf numFmtId="0" fontId="29" fillId="6" borderId="23" xfId="0" applyFont="1" applyFill="1" applyBorder="1" applyAlignment="1" applyProtection="1">
      <alignment horizontal="center" vertical="center" wrapText="1"/>
      <protection hidden="1"/>
    </xf>
    <xf numFmtId="0" fontId="29" fillId="6" borderId="24" xfId="0" applyFont="1" applyFill="1" applyBorder="1" applyAlignment="1" applyProtection="1">
      <alignment horizontal="center" vertical="center" wrapText="1"/>
      <protection hidden="1"/>
    </xf>
    <xf numFmtId="0" fontId="29" fillId="6" borderId="23" xfId="0" quotePrefix="1" applyFont="1" applyFill="1" applyBorder="1" applyAlignment="1" applyProtection="1">
      <alignment horizontal="center" vertical="center"/>
      <protection hidden="1"/>
    </xf>
    <xf numFmtId="0" fontId="29" fillId="6" borderId="23" xfId="0" applyFont="1" applyFill="1" applyBorder="1" applyAlignment="1" applyProtection="1">
      <alignment horizontal="center" vertical="center"/>
      <protection hidden="1"/>
    </xf>
    <xf numFmtId="0" fontId="29" fillId="6" borderId="24" xfId="0" applyFont="1" applyFill="1" applyBorder="1" applyAlignment="1" applyProtection="1">
      <alignment horizontal="center" vertical="center"/>
      <protection hidden="1"/>
    </xf>
    <xf numFmtId="0" fontId="37" fillId="6" borderId="23" xfId="0" quotePrefix="1" applyFont="1" applyFill="1" applyBorder="1" applyAlignment="1" applyProtection="1">
      <alignment horizontal="center" vertical="center" wrapText="1"/>
      <protection hidden="1"/>
    </xf>
    <xf numFmtId="0" fontId="37" fillId="6" borderId="24" xfId="0" quotePrefix="1" applyFont="1" applyFill="1" applyBorder="1" applyAlignment="1" applyProtection="1">
      <alignment horizontal="center" vertical="center" wrapText="1"/>
      <protection hidden="1"/>
    </xf>
    <xf numFmtId="0" fontId="13" fillId="6" borderId="30" xfId="0" applyFont="1" applyFill="1" applyBorder="1" applyAlignment="1" applyProtection="1">
      <alignment horizontal="center" vertical="center" wrapText="1"/>
      <protection hidden="1"/>
    </xf>
    <xf numFmtId="0" fontId="13" fillId="6" borderId="35" xfId="0" applyFont="1" applyFill="1" applyBorder="1" applyAlignment="1" applyProtection="1">
      <alignment horizontal="center" vertical="center" wrapText="1"/>
      <protection hidden="1"/>
    </xf>
    <xf numFmtId="0" fontId="13" fillId="6" borderId="36" xfId="0" applyFont="1" applyFill="1" applyBorder="1" applyAlignment="1" applyProtection="1">
      <alignment horizontal="center" vertical="center" wrapText="1"/>
      <protection hidden="1"/>
    </xf>
    <xf numFmtId="0" fontId="13" fillId="6" borderId="0" xfId="0" applyFont="1" applyFill="1" applyBorder="1" applyAlignment="1" applyProtection="1">
      <alignment horizontal="center" vertical="center" wrapText="1"/>
      <protection hidden="1"/>
    </xf>
    <xf numFmtId="0" fontId="13" fillId="6" borderId="37" xfId="0" applyFont="1" applyFill="1" applyBorder="1" applyAlignment="1" applyProtection="1">
      <alignment horizontal="center" vertical="center" wrapText="1"/>
      <protection hidden="1"/>
    </xf>
    <xf numFmtId="0" fontId="20" fillId="6" borderId="77" xfId="0" applyFont="1" applyFill="1" applyBorder="1" applyAlignment="1" applyProtection="1">
      <alignment horizontal="center" vertical="center" textRotation="90"/>
      <protection hidden="1"/>
    </xf>
    <xf numFmtId="0" fontId="20" fillId="6" borderId="30" xfId="0" applyFont="1" applyFill="1" applyBorder="1" applyAlignment="1" applyProtection="1">
      <alignment horizontal="center" vertical="center" textRotation="90"/>
      <protection hidden="1"/>
    </xf>
    <xf numFmtId="0" fontId="20" fillId="6" borderId="50" xfId="0" applyFont="1" applyFill="1" applyBorder="1" applyAlignment="1" applyProtection="1">
      <alignment horizontal="center" vertical="center" textRotation="90"/>
      <protection hidden="1"/>
    </xf>
    <xf numFmtId="0" fontId="20" fillId="6" borderId="79" xfId="0" applyFont="1" applyFill="1" applyBorder="1" applyAlignment="1" applyProtection="1">
      <alignment horizontal="center" vertical="center" textRotation="90"/>
      <protection hidden="1"/>
    </xf>
    <xf numFmtId="0" fontId="20" fillId="6" borderId="0" xfId="0" applyFont="1" applyFill="1" applyBorder="1" applyAlignment="1" applyProtection="1">
      <alignment horizontal="center" vertical="center" textRotation="90"/>
      <protection hidden="1"/>
    </xf>
    <xf numFmtId="0" fontId="20" fillId="6" borderId="12" xfId="0" applyFont="1" applyFill="1" applyBorder="1" applyAlignment="1" applyProtection="1">
      <alignment horizontal="center" vertical="center" textRotation="90"/>
      <protection hidden="1"/>
    </xf>
    <xf numFmtId="0" fontId="20" fillId="6" borderId="51" xfId="0" applyFont="1" applyFill="1" applyBorder="1" applyAlignment="1" applyProtection="1">
      <alignment horizontal="center" vertical="center" textRotation="90" wrapText="1"/>
      <protection hidden="1"/>
    </xf>
    <xf numFmtId="0" fontId="20" fillId="6" borderId="10" xfId="0" applyFont="1" applyFill="1" applyBorder="1" applyAlignment="1" applyProtection="1">
      <alignment horizontal="center" vertical="center" textRotation="90" wrapText="1"/>
      <protection hidden="1"/>
    </xf>
    <xf numFmtId="0" fontId="20" fillId="6" borderId="52" xfId="0" applyFont="1" applyFill="1" applyBorder="1" applyAlignment="1" applyProtection="1">
      <alignment horizontal="center" vertical="center" wrapText="1"/>
      <protection hidden="1"/>
    </xf>
    <xf numFmtId="0" fontId="20" fillId="6" borderId="30" xfId="0" applyFont="1" applyFill="1" applyBorder="1" applyAlignment="1" applyProtection="1">
      <alignment horizontal="center" vertical="center" wrapText="1"/>
      <protection hidden="1"/>
    </xf>
    <xf numFmtId="0" fontId="20" fillId="6" borderId="50" xfId="0" applyFont="1" applyFill="1" applyBorder="1" applyAlignment="1" applyProtection="1">
      <alignment horizontal="center" vertical="center" wrapText="1"/>
      <protection hidden="1"/>
    </xf>
    <xf numFmtId="0" fontId="20" fillId="6" borderId="9" xfId="0" applyFont="1" applyFill="1" applyBorder="1" applyAlignment="1" applyProtection="1">
      <alignment horizontal="center" vertical="center" wrapText="1"/>
      <protection hidden="1"/>
    </xf>
    <xf numFmtId="0" fontId="20" fillId="6" borderId="0" xfId="0" applyFont="1" applyFill="1" applyBorder="1" applyAlignment="1" applyProtection="1">
      <alignment horizontal="center" vertical="center" wrapText="1"/>
      <protection hidden="1"/>
    </xf>
    <xf numFmtId="0" fontId="20" fillId="6" borderId="12" xfId="0" applyFont="1" applyFill="1" applyBorder="1" applyAlignment="1" applyProtection="1">
      <alignment horizontal="center" vertical="center" wrapText="1"/>
      <protection hidden="1"/>
    </xf>
    <xf numFmtId="0" fontId="20" fillId="6" borderId="52" xfId="0" applyFont="1" applyFill="1" applyBorder="1" applyAlignment="1" applyProtection="1">
      <alignment horizontal="center" vertical="center" textRotation="90" wrapText="1"/>
      <protection hidden="1"/>
    </xf>
    <xf numFmtId="0" fontId="20" fillId="6" borderId="30" xfId="0" applyFont="1" applyFill="1" applyBorder="1" applyAlignment="1" applyProtection="1">
      <alignment horizontal="center" vertical="center" textRotation="90" wrapText="1"/>
      <protection hidden="1"/>
    </xf>
    <xf numFmtId="0" fontId="20" fillId="6" borderId="50" xfId="0" applyFont="1" applyFill="1" applyBorder="1" applyAlignment="1" applyProtection="1">
      <alignment horizontal="center" vertical="center" textRotation="90" wrapText="1"/>
      <protection hidden="1"/>
    </xf>
    <xf numFmtId="0" fontId="20" fillId="6" borderId="9" xfId="0" applyFont="1" applyFill="1" applyBorder="1" applyAlignment="1" applyProtection="1">
      <alignment horizontal="center" vertical="center" textRotation="90" wrapText="1"/>
      <protection hidden="1"/>
    </xf>
    <xf numFmtId="0" fontId="20" fillId="6" borderId="0" xfId="0" applyFont="1" applyFill="1" applyBorder="1" applyAlignment="1" applyProtection="1">
      <alignment horizontal="center" vertical="center" textRotation="90" wrapText="1"/>
      <protection hidden="1"/>
    </xf>
    <xf numFmtId="0" fontId="20" fillId="6" borderId="12" xfId="0" applyFont="1" applyFill="1" applyBorder="1" applyAlignment="1" applyProtection="1">
      <alignment horizontal="center" vertical="center" textRotation="90" wrapText="1"/>
      <protection hidden="1"/>
    </xf>
    <xf numFmtId="0" fontId="14" fillId="3" borderId="65" xfId="0" applyFont="1" applyFill="1" applyBorder="1" applyAlignment="1" applyProtection="1">
      <alignment horizontal="center" vertical="center"/>
      <protection hidden="1"/>
    </xf>
    <xf numFmtId="0" fontId="14" fillId="3" borderId="111" xfId="0" applyFont="1" applyFill="1" applyBorder="1" applyAlignment="1" applyProtection="1">
      <alignment horizontal="center" vertical="center"/>
      <protection hidden="1"/>
    </xf>
    <xf numFmtId="2" fontId="21" fillId="3" borderId="117" xfId="0" applyNumberFormat="1" applyFont="1" applyFill="1" applyBorder="1" applyAlignment="1" applyProtection="1">
      <alignment horizontal="center" vertical="center"/>
      <protection hidden="1"/>
    </xf>
    <xf numFmtId="2" fontId="21" fillId="3" borderId="137" xfId="0" applyNumberFormat="1" applyFont="1" applyFill="1" applyBorder="1" applyAlignment="1" applyProtection="1">
      <alignment horizontal="center" vertical="center"/>
      <protection hidden="1"/>
    </xf>
    <xf numFmtId="2" fontId="21" fillId="3" borderId="0" xfId="0" applyNumberFormat="1" applyFont="1" applyFill="1" applyBorder="1" applyAlignment="1" applyProtection="1">
      <alignment horizontal="center" vertical="center"/>
      <protection hidden="1"/>
    </xf>
    <xf numFmtId="167" fontId="14" fillId="3" borderId="31" xfId="0" applyNumberFormat="1" applyFont="1" applyFill="1" applyBorder="1" applyAlignment="1" applyProtection="1">
      <alignment horizontal="center" vertical="center"/>
      <protection hidden="1"/>
    </xf>
    <xf numFmtId="167" fontId="14" fillId="3" borderId="26" xfId="0" applyNumberFormat="1" applyFont="1" applyFill="1" applyBorder="1" applyAlignment="1" applyProtection="1">
      <alignment horizontal="center" vertical="center"/>
      <protection hidden="1"/>
    </xf>
    <xf numFmtId="0" fontId="14" fillId="3" borderId="67" xfId="0" applyFont="1" applyFill="1" applyBorder="1" applyAlignment="1" applyProtection="1">
      <alignment horizontal="center" vertical="center"/>
      <protection hidden="1"/>
    </xf>
    <xf numFmtId="0" fontId="14" fillId="3" borderId="105" xfId="0" applyFont="1" applyFill="1" applyBorder="1" applyAlignment="1" applyProtection="1">
      <alignment horizontal="center" vertical="center"/>
      <protection hidden="1"/>
    </xf>
    <xf numFmtId="0" fontId="30" fillId="3" borderId="105" xfId="0" applyFont="1" applyFill="1" applyBorder="1" applyAlignment="1" applyProtection="1">
      <alignment horizontal="center" vertical="center"/>
      <protection hidden="1"/>
    </xf>
    <xf numFmtId="2" fontId="8" fillId="3" borderId="39" xfId="0" applyNumberFormat="1" applyFont="1" applyFill="1" applyBorder="1" applyAlignment="1" applyProtection="1">
      <alignment horizontal="center" vertical="center"/>
      <protection hidden="1"/>
    </xf>
    <xf numFmtId="0" fontId="13" fillId="3" borderId="103" xfId="0" applyFont="1" applyFill="1" applyBorder="1" applyAlignment="1" applyProtection="1">
      <alignment horizontal="left" vertical="center"/>
      <protection hidden="1"/>
    </xf>
    <xf numFmtId="0" fontId="13" fillId="3" borderId="71" xfId="0" applyFont="1" applyFill="1" applyBorder="1" applyAlignment="1" applyProtection="1">
      <alignment horizontal="left" vertical="center"/>
      <protection hidden="1"/>
    </xf>
    <xf numFmtId="171" fontId="55" fillId="3" borderId="71" xfId="0" applyNumberFormat="1" applyFont="1" applyFill="1" applyBorder="1" applyAlignment="1" applyProtection="1">
      <alignment horizontal="center" vertical="center"/>
      <protection hidden="1"/>
    </xf>
    <xf numFmtId="171" fontId="55" fillId="3" borderId="31" xfId="0" applyNumberFormat="1" applyFont="1" applyFill="1" applyBorder="1" applyAlignment="1" applyProtection="1">
      <alignment horizontal="center" vertical="center"/>
      <protection hidden="1"/>
    </xf>
    <xf numFmtId="0" fontId="9" fillId="6" borderId="50" xfId="0" applyFont="1" applyFill="1" applyBorder="1" applyAlignment="1" applyProtection="1">
      <alignment horizontal="center" vertical="center" wrapText="1"/>
      <protection hidden="1"/>
    </xf>
    <xf numFmtId="0" fontId="9" fillId="6" borderId="51" xfId="0" applyFont="1" applyFill="1" applyBorder="1" applyAlignment="1" applyProtection="1">
      <alignment horizontal="center" vertical="center" wrapText="1"/>
      <protection hidden="1"/>
    </xf>
    <xf numFmtId="0" fontId="9" fillId="6" borderId="53" xfId="0" applyFont="1" applyFill="1" applyBorder="1" applyAlignment="1" applyProtection="1">
      <alignment horizontal="center" vertical="center" wrapText="1"/>
      <protection hidden="1"/>
    </xf>
    <xf numFmtId="0" fontId="9" fillId="6" borderId="12" xfId="0" applyFont="1" applyFill="1" applyBorder="1" applyAlignment="1" applyProtection="1">
      <alignment horizontal="center" vertical="center" wrapText="1"/>
      <protection hidden="1"/>
    </xf>
    <xf numFmtId="0" fontId="9" fillId="6" borderId="10" xfId="0" applyFont="1" applyFill="1" applyBorder="1" applyAlignment="1" applyProtection="1">
      <alignment horizontal="center" vertical="center" wrapText="1"/>
      <protection hidden="1"/>
    </xf>
    <xf numFmtId="0" fontId="9" fillId="6" borderId="43" xfId="0" applyFont="1" applyFill="1" applyBorder="1" applyAlignment="1" applyProtection="1">
      <alignment horizontal="center" vertical="center" wrapText="1"/>
      <protection hidden="1"/>
    </xf>
    <xf numFmtId="0" fontId="9" fillId="6" borderId="46" xfId="0" applyFont="1" applyFill="1" applyBorder="1" applyAlignment="1" applyProtection="1">
      <alignment horizontal="center" vertical="center" wrapText="1"/>
      <protection hidden="1"/>
    </xf>
    <xf numFmtId="0" fontId="9" fillId="6" borderId="9" xfId="0" applyFont="1" applyFill="1" applyBorder="1" applyAlignment="1" applyProtection="1">
      <alignment horizontal="center" vertical="center" wrapText="1"/>
      <protection hidden="1"/>
    </xf>
    <xf numFmtId="0" fontId="22" fillId="6" borderId="57" xfId="0" applyFont="1" applyFill="1" applyBorder="1" applyAlignment="1" applyProtection="1">
      <alignment horizontal="center" vertical="center" wrapText="1"/>
      <protection hidden="1"/>
    </xf>
    <xf numFmtId="0" fontId="22" fillId="6" borderId="56" xfId="0" quotePrefix="1" applyFont="1" applyFill="1" applyBorder="1" applyAlignment="1" applyProtection="1">
      <alignment horizontal="center" vertical="center" wrapText="1"/>
      <protection hidden="1"/>
    </xf>
    <xf numFmtId="2" fontId="8" fillId="2" borderId="0" xfId="0" applyNumberFormat="1" applyFont="1" applyFill="1" applyBorder="1" applyAlignment="1">
      <alignment horizontal="center" vertical="center"/>
    </xf>
    <xf numFmtId="2" fontId="5" fillId="6" borderId="131" xfId="0" applyNumberFormat="1" applyFont="1" applyFill="1" applyBorder="1" applyAlignment="1" applyProtection="1">
      <alignment horizontal="center" vertical="center" wrapText="1"/>
      <protection hidden="1"/>
    </xf>
    <xf numFmtId="2" fontId="39" fillId="6" borderId="58" xfId="0" applyNumberFormat="1" applyFont="1" applyFill="1" applyBorder="1" applyAlignment="1" applyProtection="1">
      <alignment horizontal="center" vertical="center"/>
      <protection hidden="1"/>
    </xf>
    <xf numFmtId="2" fontId="39" fillId="6" borderId="59" xfId="0" applyNumberFormat="1" applyFont="1" applyFill="1" applyBorder="1" applyAlignment="1" applyProtection="1">
      <alignment horizontal="center" vertical="center"/>
      <protection hidden="1"/>
    </xf>
    <xf numFmtId="0" fontId="9" fillId="6" borderId="54" xfId="0" applyFont="1" applyFill="1" applyBorder="1" applyAlignment="1" applyProtection="1">
      <alignment horizontal="center" vertical="center" wrapText="1"/>
      <protection hidden="1"/>
    </xf>
    <xf numFmtId="0" fontId="22" fillId="6" borderId="57" xfId="0" quotePrefix="1"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13" fillId="6" borderId="9" xfId="0"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0" fontId="13" fillId="6" borderId="37" xfId="0" applyFont="1" applyFill="1" applyBorder="1" applyAlignment="1" applyProtection="1">
      <alignment horizontal="center" vertical="center"/>
      <protection hidden="1"/>
    </xf>
    <xf numFmtId="2" fontId="8" fillId="6" borderId="152" xfId="0" applyNumberFormat="1" applyFont="1" applyFill="1" applyBorder="1" applyAlignment="1" applyProtection="1">
      <alignment horizontal="center" vertical="center"/>
      <protection hidden="1"/>
    </xf>
    <xf numFmtId="2" fontId="8" fillId="6" borderId="153" xfId="0" applyNumberFormat="1" applyFont="1" applyFill="1" applyBorder="1" applyAlignment="1" applyProtection="1">
      <alignment horizontal="center" vertical="center"/>
      <protection hidden="1"/>
    </xf>
    <xf numFmtId="2" fontId="8" fillId="6" borderId="154" xfId="0" applyNumberFormat="1" applyFont="1" applyFill="1" applyBorder="1" applyAlignment="1" applyProtection="1">
      <alignment horizontal="center" vertical="center"/>
      <protection hidden="1"/>
    </xf>
    <xf numFmtId="2" fontId="8" fillId="6" borderId="155" xfId="0" applyNumberFormat="1" applyFont="1" applyFill="1" applyBorder="1" applyAlignment="1" applyProtection="1">
      <alignment horizontal="center" vertical="center"/>
      <protection hidden="1"/>
    </xf>
    <xf numFmtId="2" fontId="0" fillId="6" borderId="156" xfId="0" applyNumberFormat="1" applyFont="1" applyFill="1" applyBorder="1" applyAlignment="1" applyProtection="1">
      <alignment horizontal="center" vertical="center"/>
      <protection hidden="1"/>
    </xf>
    <xf numFmtId="2" fontId="0" fillId="6" borderId="157" xfId="0" applyNumberFormat="1" applyFont="1" applyFill="1" applyBorder="1" applyAlignment="1" applyProtection="1">
      <alignment horizontal="center" vertical="center"/>
      <protection hidden="1"/>
    </xf>
    <xf numFmtId="2" fontId="0" fillId="6" borderId="158" xfId="0" applyNumberFormat="1" applyFont="1" applyFill="1" applyBorder="1" applyAlignment="1" applyProtection="1">
      <alignment horizontal="center" vertical="center"/>
      <protection hidden="1"/>
    </xf>
    <xf numFmtId="0" fontId="88" fillId="6" borderId="122" xfId="0" applyFont="1" applyFill="1" applyBorder="1" applyAlignment="1" applyProtection="1">
      <alignment horizontal="center" vertical="center"/>
      <protection hidden="1"/>
    </xf>
    <xf numFmtId="0" fontId="83" fillId="6" borderId="10" xfId="0" applyFont="1" applyFill="1" applyBorder="1" applyAlignment="1" applyProtection="1">
      <alignment horizontal="center" vertical="center"/>
      <protection hidden="1"/>
    </xf>
    <xf numFmtId="0" fontId="83" fillId="6" borderId="9" xfId="0" applyFont="1" applyFill="1" applyBorder="1" applyAlignment="1" applyProtection="1">
      <alignment horizontal="center" vertical="center"/>
      <protection hidden="1"/>
    </xf>
    <xf numFmtId="2" fontId="77" fillId="6" borderId="52" xfId="0" applyNumberFormat="1" applyFont="1" applyFill="1" applyBorder="1" applyAlignment="1" applyProtection="1">
      <alignment horizontal="center" vertical="center"/>
      <protection hidden="1"/>
    </xf>
    <xf numFmtId="2" fontId="77" fillId="6" borderId="30" xfId="0" applyNumberFormat="1" applyFont="1" applyFill="1" applyBorder="1" applyAlignment="1" applyProtection="1">
      <alignment horizontal="center" vertical="center"/>
      <protection hidden="1"/>
    </xf>
    <xf numFmtId="2" fontId="77" fillId="6" borderId="50" xfId="0" applyNumberFormat="1" applyFont="1" applyFill="1" applyBorder="1" applyAlignment="1" applyProtection="1">
      <alignment horizontal="center" vertical="center"/>
      <protection hidden="1"/>
    </xf>
    <xf numFmtId="2" fontId="0" fillId="6" borderId="128" xfId="0" applyNumberFormat="1" applyFont="1" applyFill="1" applyBorder="1" applyAlignment="1" applyProtection="1">
      <alignment horizontal="center" vertical="center"/>
      <protection hidden="1"/>
    </xf>
    <xf numFmtId="2" fontId="0" fillId="6" borderId="126" xfId="0" applyNumberFormat="1" applyFont="1" applyFill="1" applyBorder="1" applyAlignment="1" applyProtection="1">
      <alignment horizontal="center" vertical="center"/>
      <protection hidden="1"/>
    </xf>
    <xf numFmtId="2" fontId="0" fillId="6" borderId="127" xfId="0" applyNumberFormat="1" applyFont="1" applyFill="1" applyBorder="1" applyAlignment="1" applyProtection="1">
      <alignment horizontal="center" vertical="center"/>
      <protection hidden="1"/>
    </xf>
    <xf numFmtId="2" fontId="0" fillId="6" borderId="124" xfId="0" applyNumberFormat="1" applyFont="1" applyFill="1" applyBorder="1" applyAlignment="1" applyProtection="1">
      <alignment horizontal="center" vertical="center"/>
      <protection hidden="1"/>
    </xf>
    <xf numFmtId="2" fontId="0" fillId="6" borderId="129" xfId="0" applyNumberFormat="1" applyFont="1" applyFill="1" applyBorder="1" applyAlignment="1" applyProtection="1">
      <alignment horizontal="center" vertical="center"/>
      <protection hidden="1"/>
    </xf>
    <xf numFmtId="0" fontId="19" fillId="6" borderId="123" xfId="0" applyFont="1" applyFill="1" applyBorder="1" applyAlignment="1" applyProtection="1">
      <alignment horizontal="center" vertical="center"/>
      <protection hidden="1"/>
    </xf>
    <xf numFmtId="0" fontId="19" fillId="6" borderId="124" xfId="0" applyFont="1" applyFill="1" applyBorder="1" applyAlignment="1" applyProtection="1">
      <alignment horizontal="center" vertical="center"/>
      <protection hidden="1"/>
    </xf>
    <xf numFmtId="2" fontId="19" fillId="6" borderId="16" xfId="0" applyNumberFormat="1" applyFont="1" applyFill="1" applyBorder="1" applyAlignment="1" applyProtection="1">
      <alignment horizontal="center" vertical="center"/>
      <protection hidden="1"/>
    </xf>
    <xf numFmtId="2" fontId="19" fillId="6" borderId="13" xfId="0" applyNumberFormat="1" applyFont="1" applyFill="1" applyBorder="1" applyAlignment="1" applyProtection="1">
      <alignment horizontal="center" vertical="center"/>
      <protection hidden="1"/>
    </xf>
    <xf numFmtId="2" fontId="19" fillId="6" borderId="14" xfId="0" applyNumberFormat="1" applyFont="1" applyFill="1" applyBorder="1" applyAlignment="1" applyProtection="1">
      <alignment horizontal="center" vertical="center"/>
      <protection hidden="1"/>
    </xf>
    <xf numFmtId="1" fontId="19" fillId="6" borderId="124" xfId="0" applyNumberFormat="1" applyFont="1" applyFill="1" applyBorder="1" applyAlignment="1" applyProtection="1">
      <alignment horizontal="center" vertical="center"/>
      <protection hidden="1"/>
    </xf>
    <xf numFmtId="0" fontId="19" fillId="6" borderId="125" xfId="0" applyFont="1" applyFill="1" applyBorder="1" applyAlignment="1" applyProtection="1">
      <alignment horizontal="center" vertical="center"/>
      <protection hidden="1"/>
    </xf>
    <xf numFmtId="0" fontId="19" fillId="6" borderId="126" xfId="0" applyFont="1" applyFill="1" applyBorder="1" applyAlignment="1" applyProtection="1">
      <alignment horizontal="center" vertical="center"/>
      <protection hidden="1"/>
    </xf>
    <xf numFmtId="2" fontId="19" fillId="6" borderId="125" xfId="0" applyNumberFormat="1" applyFont="1" applyFill="1" applyBorder="1" applyAlignment="1" applyProtection="1">
      <alignment horizontal="center" vertical="center"/>
      <protection hidden="1"/>
    </xf>
    <xf numFmtId="2" fontId="19" fillId="6" borderId="126" xfId="0" applyNumberFormat="1" applyFont="1" applyFill="1" applyBorder="1" applyAlignment="1" applyProtection="1">
      <alignment horizontal="center" vertical="center"/>
      <protection hidden="1"/>
    </xf>
    <xf numFmtId="2" fontId="19" fillId="6" borderId="127" xfId="0" applyNumberFormat="1" applyFont="1" applyFill="1" applyBorder="1" applyAlignment="1" applyProtection="1">
      <alignment horizontal="center" vertical="center"/>
      <protection hidden="1"/>
    </xf>
    <xf numFmtId="2" fontId="19" fillId="6" borderId="124" xfId="0" applyNumberFormat="1" applyFont="1" applyFill="1" applyBorder="1" applyAlignment="1" applyProtection="1">
      <alignment horizontal="center" vertical="center"/>
      <protection hidden="1"/>
    </xf>
    <xf numFmtId="0" fontId="48" fillId="2" borderId="79" xfId="0" applyFont="1" applyFill="1" applyBorder="1" applyAlignment="1" applyProtection="1">
      <alignment horizontal="left" vertical="top" wrapText="1"/>
      <protection hidden="1"/>
    </xf>
    <xf numFmtId="0" fontId="48" fillId="2" borderId="0" xfId="0" applyFont="1" applyFill="1" applyBorder="1" applyAlignment="1" applyProtection="1">
      <alignment horizontal="left" vertical="top" wrapText="1"/>
      <protection hidden="1"/>
    </xf>
    <xf numFmtId="0" fontId="48" fillId="2" borderId="80" xfId="0" applyFont="1" applyFill="1" applyBorder="1" applyAlignment="1" applyProtection="1">
      <alignment horizontal="left" vertical="top" wrapText="1"/>
      <protection hidden="1"/>
    </xf>
    <xf numFmtId="0" fontId="48" fillId="2" borderId="87" xfId="0" applyFont="1" applyFill="1" applyBorder="1" applyAlignment="1" applyProtection="1">
      <alignment horizontal="left" vertical="top" wrapText="1"/>
      <protection hidden="1"/>
    </xf>
    <xf numFmtId="0" fontId="48" fillId="2" borderId="72" xfId="0" applyFont="1" applyFill="1" applyBorder="1" applyAlignment="1" applyProtection="1">
      <alignment horizontal="left" vertical="top" wrapText="1"/>
      <protection hidden="1"/>
    </xf>
    <xf numFmtId="0" fontId="48" fillId="2" borderId="88" xfId="0" applyFont="1" applyFill="1" applyBorder="1" applyAlignment="1" applyProtection="1">
      <alignment horizontal="left" vertical="top" wrapText="1"/>
      <protection hidden="1"/>
    </xf>
    <xf numFmtId="0" fontId="94" fillId="6" borderId="0" xfId="0" applyFont="1" applyFill="1" applyBorder="1" applyAlignment="1" applyProtection="1">
      <alignment horizontal="center" vertical="center" wrapText="1"/>
      <protection hidden="1"/>
    </xf>
    <xf numFmtId="0" fontId="94" fillId="6" borderId="37" xfId="0" applyFont="1" applyFill="1" applyBorder="1" applyAlignment="1" applyProtection="1">
      <alignment horizontal="center" vertical="center" wrapText="1"/>
      <protection hidden="1"/>
    </xf>
    <xf numFmtId="173" fontId="55" fillId="6" borderId="30" xfId="0" applyNumberFormat="1" applyFont="1" applyFill="1" applyBorder="1" applyAlignment="1" applyProtection="1">
      <alignment horizontal="center" vertical="center"/>
      <protection hidden="1"/>
    </xf>
    <xf numFmtId="173" fontId="55" fillId="6" borderId="35" xfId="0" applyNumberFormat="1" applyFont="1" applyFill="1" applyBorder="1" applyAlignment="1" applyProtection="1">
      <alignment horizontal="center" vertical="center"/>
      <protection hidden="1"/>
    </xf>
    <xf numFmtId="177" fontId="55" fillId="6" borderId="118" xfId="0" applyNumberFormat="1" applyFont="1" applyFill="1" applyBorder="1" applyAlignment="1" applyProtection="1">
      <alignment horizontal="center" vertical="center"/>
      <protection hidden="1"/>
    </xf>
    <xf numFmtId="177" fontId="55" fillId="6" borderId="61" xfId="0" applyNumberFormat="1" applyFont="1" applyFill="1" applyBorder="1" applyAlignment="1" applyProtection="1">
      <alignment horizontal="center" vertical="center"/>
      <protection hidden="1"/>
    </xf>
    <xf numFmtId="177" fontId="55" fillId="6" borderId="131" xfId="0" applyNumberFormat="1" applyFont="1" applyFill="1" applyBorder="1" applyAlignment="1" applyProtection="1">
      <alignment horizontal="center" vertical="center"/>
      <protection hidden="1"/>
    </xf>
    <xf numFmtId="2" fontId="5" fillId="6" borderId="70" xfId="0" applyNumberFormat="1" applyFont="1" applyFill="1" applyBorder="1" applyAlignment="1" applyProtection="1">
      <alignment horizontal="center" vertical="center" wrapText="1"/>
      <protection hidden="1"/>
    </xf>
    <xf numFmtId="2" fontId="5" fillId="6" borderId="13" xfId="0" applyNumberFormat="1" applyFont="1" applyFill="1" applyBorder="1" applyAlignment="1" applyProtection="1">
      <alignment horizontal="center" vertical="center" wrapText="1"/>
      <protection hidden="1"/>
    </xf>
    <xf numFmtId="2" fontId="5" fillId="6" borderId="16" xfId="0" applyNumberFormat="1" applyFont="1" applyFill="1" applyBorder="1" applyAlignment="1" applyProtection="1">
      <alignment horizontal="center" vertical="center" wrapText="1"/>
      <protection hidden="1"/>
    </xf>
    <xf numFmtId="0" fontId="55" fillId="3" borderId="37" xfId="0" applyFont="1" applyFill="1" applyBorder="1" applyAlignment="1" applyProtection="1">
      <alignment horizontal="center" vertical="center" wrapText="1"/>
      <protection hidden="1"/>
    </xf>
    <xf numFmtId="0" fontId="55" fillId="3" borderId="95" xfId="0" applyFont="1" applyFill="1" applyBorder="1" applyAlignment="1" applyProtection="1">
      <alignment horizontal="center" vertical="center" wrapText="1"/>
      <protection hidden="1"/>
    </xf>
    <xf numFmtId="165" fontId="21" fillId="3" borderId="65" xfId="0" applyNumberFormat="1" applyFont="1" applyFill="1" applyBorder="1" applyAlignment="1" applyProtection="1">
      <alignment horizontal="center" vertical="center"/>
      <protection hidden="1"/>
    </xf>
    <xf numFmtId="165" fontId="21" fillId="3" borderId="111" xfId="0" applyNumberFormat="1" applyFont="1" applyFill="1" applyBorder="1" applyAlignment="1" applyProtection="1">
      <alignment horizontal="center" vertical="center"/>
      <protection hidden="1"/>
    </xf>
    <xf numFmtId="165" fontId="21" fillId="3" borderId="140" xfId="0" applyNumberFormat="1" applyFont="1" applyFill="1" applyBorder="1" applyAlignment="1" applyProtection="1">
      <alignment horizontal="center" vertical="center"/>
      <protection hidden="1"/>
    </xf>
    <xf numFmtId="0" fontId="8" fillId="3" borderId="139" xfId="0" applyFont="1" applyFill="1" applyBorder="1" applyAlignment="1" applyProtection="1">
      <alignment horizontal="center" vertical="center"/>
      <protection hidden="1"/>
    </xf>
    <xf numFmtId="0" fontId="8" fillId="3" borderId="78" xfId="0" applyFont="1" applyFill="1" applyBorder="1" applyAlignment="1" applyProtection="1">
      <alignment horizontal="center" vertical="center"/>
      <protection hidden="1"/>
    </xf>
    <xf numFmtId="166" fontId="8" fillId="3" borderId="31" xfId="0" applyNumberFormat="1" applyFont="1" applyFill="1" applyBorder="1" applyAlignment="1" applyProtection="1">
      <alignment horizontal="center" vertical="center"/>
      <protection hidden="1"/>
    </xf>
    <xf numFmtId="166" fontId="8" fillId="3" borderId="26" xfId="0" applyNumberFormat="1" applyFont="1" applyFill="1" applyBorder="1" applyAlignment="1" applyProtection="1">
      <alignment horizontal="center" vertical="center"/>
      <protection hidden="1"/>
    </xf>
    <xf numFmtId="166" fontId="8" fillId="3" borderId="76" xfId="0" applyNumberFormat="1" applyFont="1" applyFill="1" applyBorder="1" applyAlignment="1" applyProtection="1">
      <alignment horizontal="center" vertical="center"/>
      <protection hidden="1"/>
    </xf>
    <xf numFmtId="0" fontId="96" fillId="6" borderId="89" xfId="0" quotePrefix="1" applyFont="1" applyFill="1" applyBorder="1" applyAlignment="1" applyProtection="1">
      <alignment horizontal="center" vertical="center"/>
      <protection hidden="1"/>
    </xf>
    <xf numFmtId="0" fontId="96" fillId="6" borderId="90" xfId="0" quotePrefix="1" applyFont="1" applyFill="1" applyBorder="1" applyAlignment="1" applyProtection="1">
      <alignment horizontal="center" vertical="center"/>
      <protection hidden="1"/>
    </xf>
    <xf numFmtId="0" fontId="96" fillId="6" borderId="116" xfId="0" quotePrefix="1" applyFont="1" applyFill="1" applyBorder="1" applyAlignment="1" applyProtection="1">
      <alignment horizontal="center" vertical="center"/>
      <protection hidden="1"/>
    </xf>
    <xf numFmtId="0" fontId="96" fillId="6" borderId="81" xfId="0" quotePrefix="1" applyFont="1" applyFill="1" applyBorder="1" applyAlignment="1" applyProtection="1">
      <alignment horizontal="center" vertical="center"/>
      <protection hidden="1"/>
    </xf>
    <xf numFmtId="0" fontId="96" fillId="6" borderId="23" xfId="0" quotePrefix="1" applyFont="1" applyFill="1" applyBorder="1" applyAlignment="1" applyProtection="1">
      <alignment horizontal="center" vertical="center"/>
      <protection hidden="1"/>
    </xf>
    <xf numFmtId="0" fontId="96" fillId="6" borderId="40" xfId="0" quotePrefix="1" applyFont="1" applyFill="1" applyBorder="1" applyAlignment="1" applyProtection="1">
      <alignment horizontal="center" vertical="center"/>
      <protection hidden="1"/>
    </xf>
    <xf numFmtId="1" fontId="39" fillId="6" borderId="0" xfId="0" applyNumberFormat="1" applyFont="1" applyFill="1" applyBorder="1" applyAlignment="1" applyProtection="1">
      <alignment horizontal="left" vertical="center"/>
      <protection hidden="1"/>
    </xf>
    <xf numFmtId="1" fontId="39" fillId="6" borderId="12" xfId="0" applyNumberFormat="1" applyFont="1" applyFill="1" applyBorder="1" applyAlignment="1" applyProtection="1">
      <alignment horizontal="left" vertical="center"/>
      <protection hidden="1"/>
    </xf>
    <xf numFmtId="166" fontId="0" fillId="6" borderId="120" xfId="0" applyNumberFormat="1" applyFont="1" applyFill="1" applyBorder="1" applyAlignment="1" applyProtection="1">
      <alignment horizontal="center" vertical="center"/>
      <protection hidden="1"/>
    </xf>
    <xf numFmtId="166" fontId="0" fillId="6" borderId="138" xfId="0" applyNumberFormat="1" applyFont="1" applyFill="1" applyBorder="1" applyAlignment="1" applyProtection="1">
      <alignment horizontal="center" vertical="center"/>
      <protection hidden="1"/>
    </xf>
    <xf numFmtId="166" fontId="0" fillId="6" borderId="121" xfId="0" applyNumberFormat="1" applyFont="1" applyFill="1" applyBorder="1" applyAlignment="1" applyProtection="1">
      <alignment horizontal="center" vertical="center"/>
      <protection hidden="1"/>
    </xf>
    <xf numFmtId="166" fontId="0" fillId="6" borderId="130" xfId="0" applyNumberFormat="1" applyFont="1" applyFill="1" applyBorder="1" applyAlignment="1" applyProtection="1">
      <alignment horizontal="center" vertical="center"/>
      <protection hidden="1"/>
    </xf>
    <xf numFmtId="2" fontId="10" fillId="6" borderId="51" xfId="0" applyNumberFormat="1" applyFont="1" applyFill="1" applyBorder="1" applyAlignment="1" applyProtection="1">
      <alignment horizontal="center" vertical="center" textRotation="90" wrapText="1"/>
      <protection hidden="1"/>
    </xf>
    <xf numFmtId="2" fontId="10" fillId="6" borderId="10" xfId="0" applyNumberFormat="1" applyFont="1" applyFill="1" applyBorder="1" applyAlignment="1" applyProtection="1">
      <alignment horizontal="center" vertical="center" textRotation="90" wrapText="1"/>
      <protection hidden="1"/>
    </xf>
    <xf numFmtId="0" fontId="10" fillId="6" borderId="78" xfId="0" applyFont="1" applyFill="1" applyBorder="1" applyAlignment="1" applyProtection="1">
      <alignment horizontal="center" vertical="center" textRotation="90" wrapText="1"/>
      <protection hidden="1"/>
    </xf>
    <xf numFmtId="0" fontId="10" fillId="6" borderId="80" xfId="0" applyFont="1" applyFill="1" applyBorder="1" applyAlignment="1" applyProtection="1">
      <alignment horizontal="center" vertical="center" textRotation="90" wrapText="1"/>
      <protection hidden="1"/>
    </xf>
    <xf numFmtId="2" fontId="22" fillId="6" borderId="56" xfId="0" quotePrefix="1" applyNumberFormat="1" applyFont="1" applyFill="1" applyBorder="1" applyAlignment="1" applyProtection="1">
      <alignment horizontal="center" vertical="center" wrapText="1"/>
      <protection hidden="1"/>
    </xf>
    <xf numFmtId="2" fontId="22" fillId="6" borderId="56" xfId="0" applyNumberFormat="1" applyFont="1" applyFill="1" applyBorder="1" applyAlignment="1" applyProtection="1">
      <alignment horizontal="center" vertical="center" wrapText="1"/>
      <protection hidden="1"/>
    </xf>
    <xf numFmtId="0" fontId="22" fillId="6" borderId="115" xfId="0" applyFont="1" applyFill="1" applyBorder="1" applyAlignment="1" applyProtection="1">
      <alignment horizontal="center" vertical="center" wrapText="1"/>
      <protection hidden="1"/>
    </xf>
    <xf numFmtId="0" fontId="8" fillId="3" borderId="66" xfId="0" applyFont="1" applyFill="1" applyBorder="1" applyAlignment="1" applyProtection="1">
      <alignment horizontal="center" vertical="center"/>
      <protection hidden="1"/>
    </xf>
    <xf numFmtId="0" fontId="8" fillId="3" borderId="23" xfId="0" applyFont="1" applyFill="1" applyBorder="1" applyAlignment="1" applyProtection="1">
      <alignment horizontal="center" vertical="center"/>
      <protection hidden="1"/>
    </xf>
    <xf numFmtId="0" fontId="13" fillId="3" borderId="63" xfId="0" applyFont="1" applyFill="1" applyBorder="1" applyAlignment="1" applyProtection="1">
      <alignment horizontal="center" vertical="center"/>
      <protection hidden="1"/>
    </xf>
    <xf numFmtId="0" fontId="13" fillId="3" borderId="26" xfId="0" applyFont="1" applyFill="1" applyBorder="1" applyAlignment="1" applyProtection="1">
      <alignment horizontal="center" vertical="center"/>
      <protection hidden="1"/>
    </xf>
    <xf numFmtId="0" fontId="21" fillId="3" borderId="110" xfId="0" applyFont="1" applyFill="1" applyBorder="1" applyAlignment="1" applyProtection="1">
      <alignment horizontal="center" vertical="center"/>
      <protection hidden="1"/>
    </xf>
    <xf numFmtId="0" fontId="21" fillId="3" borderId="111" xfId="0" applyFont="1" applyFill="1" applyBorder="1" applyAlignment="1" applyProtection="1">
      <alignment horizontal="center" vertical="center"/>
      <protection hidden="1"/>
    </xf>
    <xf numFmtId="0" fontId="30" fillId="3" borderId="109" xfId="0" applyFont="1" applyFill="1" applyBorder="1" applyAlignment="1" applyProtection="1">
      <alignment horizontal="center" vertical="center"/>
      <protection hidden="1"/>
    </xf>
    <xf numFmtId="0" fontId="30" fillId="3" borderId="136" xfId="0" applyFont="1" applyFill="1" applyBorder="1" applyAlignment="1" applyProtection="1">
      <alignment horizontal="center" vertical="center"/>
      <protection hidden="1"/>
    </xf>
    <xf numFmtId="0" fontId="13" fillId="3" borderId="109" xfId="0" applyFont="1" applyFill="1" applyBorder="1" applyAlignment="1" applyProtection="1">
      <alignment horizontal="center" vertical="center"/>
      <protection hidden="1"/>
    </xf>
    <xf numFmtId="0" fontId="13" fillId="3" borderId="136" xfId="0" applyFont="1" applyFill="1" applyBorder="1" applyAlignment="1" applyProtection="1">
      <alignment horizontal="center" vertical="center"/>
      <protection hidden="1"/>
    </xf>
    <xf numFmtId="1" fontId="8" fillId="3" borderId="110" xfId="0" applyNumberFormat="1" applyFont="1" applyFill="1" applyBorder="1" applyAlignment="1" applyProtection="1">
      <alignment horizontal="center" vertical="center"/>
      <protection hidden="1"/>
    </xf>
    <xf numFmtId="1" fontId="8" fillId="3" borderId="111" xfId="0" applyNumberFormat="1" applyFont="1" applyFill="1" applyBorder="1" applyAlignment="1" applyProtection="1">
      <alignment horizontal="center" vertical="center"/>
      <protection hidden="1"/>
    </xf>
    <xf numFmtId="1" fontId="8" fillId="3" borderId="140" xfId="0" applyNumberFormat="1" applyFont="1" applyFill="1" applyBorder="1" applyAlignment="1" applyProtection="1">
      <alignment horizontal="center" vertical="center"/>
      <protection hidden="1"/>
    </xf>
    <xf numFmtId="0" fontId="21" fillId="0" borderId="0" xfId="0" applyFont="1" applyAlignment="1">
      <alignment horizontal="right" vertical="center" textRotation="90"/>
    </xf>
    <xf numFmtId="0" fontId="21" fillId="0" borderId="0" xfId="0" applyFont="1" applyAlignment="1" applyProtection="1">
      <alignment horizontal="center"/>
      <protection hidden="1"/>
    </xf>
    <xf numFmtId="0" fontId="9" fillId="0" borderId="0" xfId="0" applyFont="1" applyAlignment="1" applyProtection="1">
      <alignment horizontal="center"/>
      <protection hidden="1"/>
    </xf>
    <xf numFmtId="0" fontId="83" fillId="0" borderId="0" xfId="0" applyFont="1" applyAlignment="1" applyProtection="1">
      <alignment horizontal="center"/>
      <protection hidden="1"/>
    </xf>
    <xf numFmtId="0" fontId="13"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center"/>
    </xf>
    <xf numFmtId="0" fontId="15" fillId="0" borderId="0" xfId="0" applyFont="1" applyAlignment="1">
      <alignment horizontal="center" vertical="center"/>
    </xf>
    <xf numFmtId="0" fontId="14" fillId="0" borderId="0" xfId="0" applyFont="1" applyAlignment="1">
      <alignment horizontal="center"/>
    </xf>
  </cellXfs>
  <cellStyles count="2">
    <cellStyle name="Normal" xfId="0" builtinId="0"/>
    <cellStyle name="Virgül" xfId="1" builtinId="3"/>
  </cellStyles>
  <dxfs count="55">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rgb="FFFF0000"/>
      </font>
    </dxf>
    <dxf>
      <font>
        <b/>
        <i val="0"/>
        <color rgb="FFFF0000"/>
      </font>
    </dxf>
    <dxf>
      <font>
        <b/>
        <i val="0"/>
        <color auto="1"/>
      </font>
      <fill>
        <patternFill patternType="solid">
          <fgColor rgb="FFFF9393"/>
          <bgColor rgb="FFFF9999"/>
        </patternFill>
      </fill>
    </dxf>
    <dxf>
      <font>
        <b/>
        <i val="0"/>
        <color auto="1"/>
      </font>
      <fill>
        <patternFill>
          <bgColor rgb="FFFF3505"/>
        </patternFill>
      </fill>
    </dxf>
    <dxf>
      <font>
        <b/>
        <i val="0"/>
        <color auto="1"/>
      </font>
      <fill>
        <patternFill patternType="solid">
          <bgColor rgb="FFCCFF66"/>
        </patternFill>
      </fill>
    </dxf>
    <dxf>
      <font>
        <b/>
        <i val="0"/>
        <color auto="1"/>
      </font>
      <fill>
        <patternFill>
          <bgColor rgb="FF00F66F"/>
        </patternFill>
      </fill>
    </dxf>
    <dxf>
      <font>
        <b/>
        <i val="0"/>
        <color auto="1"/>
      </font>
      <fill>
        <patternFill patternType="solid">
          <fgColor rgb="FFFF9393"/>
          <bgColor rgb="FFFF9999"/>
        </patternFill>
      </fill>
    </dxf>
    <dxf>
      <font>
        <b/>
        <i val="0"/>
        <color auto="1"/>
      </font>
      <fill>
        <patternFill>
          <bgColor rgb="FFFF3505"/>
        </patternFill>
      </fill>
    </dxf>
    <dxf>
      <font>
        <b/>
        <i val="0"/>
        <color auto="1"/>
      </font>
      <fill>
        <patternFill patternType="solid">
          <bgColor rgb="FFCCFF66"/>
        </patternFill>
      </fill>
    </dxf>
    <dxf>
      <font>
        <b/>
        <i val="0"/>
        <color auto="1"/>
      </font>
      <fill>
        <patternFill>
          <bgColor rgb="FF00B050"/>
        </patternFill>
      </fill>
    </dxf>
    <dxf>
      <font>
        <b/>
        <i val="0"/>
        <color theme="0"/>
      </font>
      <fill>
        <patternFill patternType="solid">
          <bgColor rgb="FFFF2D2D"/>
        </patternFill>
      </fill>
    </dxf>
    <dxf>
      <font>
        <b val="0"/>
        <i val="0"/>
        <color auto="1"/>
      </font>
      <fill>
        <patternFill>
          <bgColor theme="9" tint="0.39994506668294322"/>
        </patternFill>
      </fill>
    </dxf>
    <dxf>
      <font>
        <b/>
        <i val="0"/>
        <color theme="0"/>
      </font>
      <fill>
        <patternFill patternType="solid">
          <bgColor rgb="FFFF2D2D"/>
        </patternFill>
      </fill>
    </dxf>
    <dxf>
      <font>
        <b val="0"/>
        <i val="0"/>
        <color auto="1"/>
      </font>
      <fill>
        <patternFill>
          <bgColor theme="9" tint="0.39994506668294322"/>
        </patternFill>
      </fill>
    </dxf>
    <dxf>
      <font>
        <b/>
        <i val="0"/>
        <color rgb="FFFF0000"/>
      </font>
    </dxf>
    <dxf>
      <font>
        <b/>
        <i val="0"/>
        <color rgb="FFFF0000"/>
      </font>
    </dxf>
    <dxf>
      <font>
        <b/>
        <i val="0"/>
        <color rgb="FFFF0000"/>
      </font>
    </dxf>
    <dxf>
      <font>
        <b/>
        <i val="0"/>
        <color theme="0"/>
      </font>
      <fill>
        <patternFill>
          <bgColor rgb="FFF5968F"/>
        </patternFill>
      </fill>
    </dxf>
    <dxf>
      <font>
        <b/>
        <i val="0"/>
      </font>
      <fill>
        <patternFill>
          <bgColor rgb="FF0DA206"/>
        </patternFill>
      </fill>
    </dxf>
    <dxf>
      <fill>
        <patternFill>
          <bgColor rgb="FFD9DF87"/>
        </patternFill>
      </fill>
    </dxf>
    <dxf>
      <font>
        <b/>
        <i val="0"/>
      </font>
      <fill>
        <patternFill>
          <bgColor rgb="FF33CC33"/>
        </patternFill>
      </fill>
    </dxf>
    <dxf>
      <font>
        <b/>
        <i val="0"/>
        <color auto="1"/>
      </font>
      <fill>
        <patternFill patternType="solid">
          <fgColor rgb="FFFF9393"/>
          <bgColor rgb="FFFF9999"/>
        </patternFill>
      </fill>
    </dxf>
    <dxf>
      <font>
        <b/>
        <i val="0"/>
        <color auto="1"/>
      </font>
      <fill>
        <patternFill>
          <bgColor rgb="FFFF3505"/>
        </patternFill>
      </fill>
    </dxf>
    <dxf>
      <font>
        <b/>
        <i val="0"/>
        <color auto="1"/>
      </font>
      <fill>
        <patternFill patternType="solid">
          <bgColor rgb="FFCCFF66"/>
        </patternFill>
      </fill>
    </dxf>
    <dxf>
      <font>
        <b/>
        <i val="0"/>
        <color auto="1"/>
      </font>
      <fill>
        <patternFill>
          <bgColor rgb="FF00F66F"/>
        </patternFill>
      </fill>
    </dxf>
    <dxf>
      <font>
        <b/>
        <i val="0"/>
        <color auto="1"/>
      </font>
      <fill>
        <patternFill patternType="solid">
          <fgColor rgb="FFFF9393"/>
          <bgColor rgb="FFFF9999"/>
        </patternFill>
      </fill>
    </dxf>
    <dxf>
      <font>
        <b/>
        <i val="0"/>
        <color auto="1"/>
      </font>
      <fill>
        <patternFill>
          <bgColor rgb="FFFF3505"/>
        </patternFill>
      </fill>
    </dxf>
    <dxf>
      <font>
        <b/>
        <i val="0"/>
        <color auto="1"/>
      </font>
      <fill>
        <patternFill patternType="solid">
          <bgColor rgb="FFCCFF66"/>
        </patternFill>
      </fill>
    </dxf>
    <dxf>
      <font>
        <b/>
        <i val="0"/>
        <color auto="1"/>
      </font>
      <fill>
        <patternFill>
          <bgColor rgb="FF00DE64"/>
        </patternFill>
      </fill>
    </dxf>
    <dxf>
      <font>
        <b/>
        <i val="0"/>
        <color auto="1"/>
      </font>
      <fill>
        <patternFill patternType="solid">
          <fgColor rgb="FFFF9393"/>
          <bgColor rgb="FFFF9999"/>
        </patternFill>
      </fill>
    </dxf>
    <dxf>
      <font>
        <b/>
        <i val="0"/>
        <color auto="1"/>
      </font>
      <fill>
        <patternFill>
          <bgColor rgb="FFFF3505"/>
        </patternFill>
      </fill>
    </dxf>
    <dxf>
      <font>
        <b/>
        <i val="0"/>
        <color auto="1"/>
      </font>
      <fill>
        <patternFill patternType="solid">
          <bgColor rgb="FFCCFF66"/>
        </patternFill>
      </fill>
    </dxf>
    <dxf>
      <font>
        <b/>
        <i val="0"/>
        <color auto="1"/>
      </font>
      <fill>
        <patternFill>
          <bgColor rgb="FF00B050"/>
        </patternFill>
      </fill>
    </dxf>
    <dxf>
      <font>
        <b/>
        <i val="0"/>
        <color theme="0"/>
      </font>
      <fill>
        <patternFill patternType="solid">
          <bgColor rgb="FFFF2D2D"/>
        </patternFill>
      </fill>
    </dxf>
    <dxf>
      <font>
        <b val="0"/>
        <i val="0"/>
        <color auto="1"/>
      </font>
      <fill>
        <patternFill>
          <bgColor theme="9" tint="0.39994506668294322"/>
        </patternFill>
      </fill>
    </dxf>
  </dxfs>
  <tableStyles count="0" defaultTableStyle="TableStyleMedium2" defaultPivotStyle="PivotStyleLight16"/>
  <colors>
    <mruColors>
      <color rgb="FFF58345"/>
      <color rgb="FFFBD4D1"/>
      <color rgb="FFFDFFDD"/>
      <color rgb="FFF5968F"/>
      <color rgb="FFF69F98"/>
      <color rgb="FF00F66F"/>
      <color rgb="FF33CC33"/>
      <color rgb="FF00DE64"/>
      <color rgb="FF0DA206"/>
      <color rgb="FFD9D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94858835213169E-2"/>
          <c:y val="7.5676696180903141E-2"/>
          <c:w val="0.89019685039370078"/>
          <c:h val="0.8130932787147967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Tablolar!$J$11</c:f>
              <c:numCache>
                <c:formatCode>General</c:formatCode>
                <c:ptCount val="1"/>
              </c:numCache>
            </c:numRef>
          </c:xVal>
          <c:yVal>
            <c:numRef>
              <c:f>Tablolar!$L$24</c:f>
              <c:numCache>
                <c:formatCode>General</c:formatCode>
                <c:ptCount val="1"/>
              </c:numCache>
            </c:numRef>
          </c:yVal>
          <c:smooth val="0"/>
          <c:extLst>
            <c:ext xmlns:c16="http://schemas.microsoft.com/office/drawing/2014/chart" uri="{C3380CC4-5D6E-409C-BE32-E72D297353CC}">
              <c16:uniqueId val="{00000000-953A-41B3-A4E8-5E1F15239831}"/>
            </c:ext>
          </c:extLst>
        </c:ser>
        <c:ser>
          <c:idx val="1"/>
          <c:order val="1"/>
          <c:tx>
            <c:v>Ishıhara</c:v>
          </c:tx>
          <c:spPr>
            <a:ln w="25400" cap="rnd">
              <a:noFill/>
              <a:round/>
            </a:ln>
            <a:effectLst/>
          </c:spPr>
          <c:marker>
            <c:symbol val="circle"/>
            <c:size val="8"/>
            <c:spPr>
              <a:solidFill>
                <a:schemeClr val="accent2"/>
              </a:solidFill>
              <a:ln w="12700">
                <a:solidFill>
                  <a:srgbClr val="FF0000"/>
                </a:solidFill>
              </a:ln>
              <a:effectLst/>
            </c:spPr>
          </c:marker>
          <c:xVal>
            <c:numRef>
              <c:f>'Oturma-Yanal Yay. ve Muk. Kaybı'!$DX$18</c:f>
              <c:numCache>
                <c:formatCode>0.00\m</c:formatCode>
                <c:ptCount val="1"/>
                <c:pt idx="0">
                  <c:v>5</c:v>
                </c:pt>
              </c:numCache>
            </c:numRef>
          </c:xVal>
          <c:yVal>
            <c:numRef>
              <c:f>'Oturma-Yanal Yay. ve Muk. Kaybı'!$DO$33:$DW$33</c:f>
              <c:numCache>
                <c:formatCode>"∑H2="0.00\m</c:formatCode>
                <c:ptCount val="9"/>
                <c:pt idx="0">
                  <c:v>6.8999999999999995</c:v>
                </c:pt>
              </c:numCache>
            </c:numRef>
          </c:yVal>
          <c:smooth val="0"/>
          <c:extLst>
            <c:ext xmlns:c16="http://schemas.microsoft.com/office/drawing/2014/chart" uri="{C3380CC4-5D6E-409C-BE32-E72D297353CC}">
              <c16:uniqueId val="{00000000-EF23-41C5-853E-4999B8A3CB37}"/>
            </c:ext>
          </c:extLst>
        </c:ser>
        <c:dLbls>
          <c:showLegendKey val="0"/>
          <c:showVal val="0"/>
          <c:showCatName val="0"/>
          <c:showSerName val="0"/>
          <c:showPercent val="0"/>
          <c:showBubbleSize val="0"/>
        </c:dLbls>
        <c:axId val="641108848"/>
        <c:axId val="641616800"/>
      </c:scatterChart>
      <c:valAx>
        <c:axId val="641108848"/>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out"/>
        <c:tickLblPos val="nextTo"/>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41616800"/>
        <c:crosses val="autoZero"/>
        <c:crossBetween val="midCat"/>
        <c:majorUnit val="1"/>
        <c:minorUnit val="0.2"/>
      </c:valAx>
      <c:valAx>
        <c:axId val="641616800"/>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out"/>
        <c:tickLblPos val="nextTo"/>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41108848"/>
        <c:crosses val="autoZero"/>
        <c:crossBetween val="midCat"/>
        <c:majorUnit val="0.5"/>
        <c:minorUnit val="0.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2745152823638981"/>
          <c:y val="2.70758122743682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manualLayout>
          <c:layoutTarget val="inner"/>
          <c:xMode val="edge"/>
          <c:yMode val="edge"/>
          <c:x val="7.9170393962926924E-2"/>
          <c:y val="6.7227972111265674E-2"/>
          <c:w val="0.83066753828056139"/>
          <c:h val="0.86390842149593539"/>
        </c:manualLayout>
      </c:layout>
      <c:scatterChart>
        <c:scatterStyle val="lineMarker"/>
        <c:varyColors val="0"/>
        <c:ser>
          <c:idx val="1"/>
          <c:order val="0"/>
          <c:tx>
            <c:v>Sönmez vd, 2005</c:v>
          </c:tx>
          <c:spPr>
            <a:ln w="19050" cap="rnd">
              <a:solidFill>
                <a:schemeClr val="accent2"/>
              </a:solidFill>
              <a:round/>
            </a:ln>
            <a:effectLst/>
          </c:spPr>
          <c:marker>
            <c:symbol val="circle"/>
            <c:size val="8"/>
            <c:spPr>
              <a:noFill/>
              <a:ln w="31750">
                <a:solidFill>
                  <a:schemeClr val="accent2"/>
                </a:solidFill>
              </a:ln>
              <a:effectLst/>
            </c:spPr>
          </c:marker>
          <c:xVal>
            <c:numRef>
              <c:f>'Oturma-Yanal Yay. ve Muk. Kaybı'!$ED$18</c:f>
              <c:numCache>
                <c:formatCode>0</c:formatCode>
                <c:ptCount val="1"/>
                <c:pt idx="0">
                  <c:v>39.414824144399212</c:v>
                </c:pt>
              </c:numCache>
            </c:numRef>
          </c:xVal>
          <c:yVal>
            <c:numRef>
              <c:f>'Oturma-Yanal Yay. ve Muk. Kaybı'!$DX$18</c:f>
              <c:numCache>
                <c:formatCode>0.00\m</c:formatCode>
                <c:ptCount val="1"/>
                <c:pt idx="0">
                  <c:v>5</c:v>
                </c:pt>
              </c:numCache>
            </c:numRef>
          </c:yVal>
          <c:smooth val="0"/>
          <c:extLst>
            <c:ext xmlns:c16="http://schemas.microsoft.com/office/drawing/2014/chart" uri="{C3380CC4-5D6E-409C-BE32-E72D297353CC}">
              <c16:uniqueId val="{00000000-2A62-4BA1-AC97-8C052ABE2663}"/>
            </c:ext>
          </c:extLst>
        </c:ser>
        <c:dLbls>
          <c:showLegendKey val="0"/>
          <c:showVal val="0"/>
          <c:showCatName val="0"/>
          <c:showSerName val="0"/>
          <c:showPercent val="0"/>
          <c:showBubbleSize val="0"/>
        </c:dLbls>
        <c:axId val="297751200"/>
        <c:axId val="1"/>
      </c:scatterChart>
      <c:valAx>
        <c:axId val="297751200"/>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
        <c:crosses val="autoZero"/>
        <c:crossBetween val="midCat"/>
        <c:majorUnit val="5"/>
        <c:minorUnit val="1"/>
      </c:valAx>
      <c:valAx>
        <c:axId val="1"/>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297751200"/>
        <c:crossesAt val="0"/>
        <c:crossBetween val="midCat"/>
      </c:valAx>
      <c:spPr>
        <a:solidFill>
          <a:srgbClr val="000000">
            <a:alpha val="30196"/>
          </a:srgbClr>
        </a:solidFill>
        <a:ln>
          <a:noFill/>
        </a:ln>
        <a:effectLst/>
      </c:spPr>
    </c:plotArea>
    <c:plotVisOnly val="1"/>
    <c:dispBlanksAs val="span"/>
    <c:showDLblsOverMax val="0"/>
  </c:chart>
  <c:spPr>
    <a:noFill/>
    <a:ln w="9525" cap="flat" cmpd="sng" algn="ctr">
      <a:noFill/>
      <a:round/>
    </a:ln>
    <a:effectLst/>
  </c:spPr>
  <c:txPr>
    <a:bodyPr/>
    <a:lstStyle/>
    <a:p>
      <a:pPr>
        <a:defRPr/>
      </a:pPr>
      <a:endParaRPr lang="tr-TR"/>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9800481068001"/>
          <c:y val="8.3702126519899292E-2"/>
          <c:w val="0.83657951292673782"/>
          <c:h val="0.76487397183322203"/>
        </c:manualLayout>
      </c:layout>
      <c:scatterChart>
        <c:scatterStyle val="lineMarker"/>
        <c:varyColors val="0"/>
        <c:ser>
          <c:idx val="2"/>
          <c:order val="0"/>
          <c:spPr>
            <a:ln w="28575">
              <a:noFill/>
            </a:ln>
          </c:spPr>
          <c:marker>
            <c:spPr>
              <a:ln>
                <a:solidFill>
                  <a:srgbClr val="FF0000"/>
                </a:solidFill>
              </a:ln>
            </c:spPr>
          </c:marker>
          <c:xVal>
            <c:numRef>
              <c:f>'Killerin sıvılaşma duyarlılığı'!$E$2:$E$21</c:f>
              <c:numCache>
                <c:formatCode>0.00</c:formatCode>
                <c:ptCount val="20"/>
                <c:pt idx="0">
                  <c:v>0.64</c:v>
                </c:pt>
                <c:pt idx="1">
                  <c:v>0.7</c:v>
                </c:pt>
                <c:pt idx="2">
                  <c:v>1</c:v>
                </c:pt>
                <c:pt idx="3">
                  <c:v>0.96</c:v>
                </c:pt>
                <c:pt idx="4">
                  <c:v>0.86</c:v>
                </c:pt>
                <c:pt idx="5">
                  <c:v>0.61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'Killerin sıvılaşma duyarlılığı'!$D$2:$D$21</c:f>
              <c:numCache>
                <c:formatCode>General</c:formatCode>
                <c:ptCount val="20"/>
                <c:pt idx="0">
                  <c:v>18</c:v>
                </c:pt>
                <c:pt idx="1">
                  <c:v>16</c:v>
                </c:pt>
                <c:pt idx="2">
                  <c:v>12</c:v>
                </c:pt>
                <c:pt idx="3">
                  <c:v>10</c:v>
                </c:pt>
                <c:pt idx="4">
                  <c:v>15</c:v>
                </c:pt>
                <c:pt idx="5">
                  <c:v>17</c:v>
                </c:pt>
              </c:numCache>
            </c:numRef>
          </c:yVal>
          <c:smooth val="0"/>
          <c:extLst>
            <c:ext xmlns:c16="http://schemas.microsoft.com/office/drawing/2014/chart" uri="{C3380CC4-5D6E-409C-BE32-E72D297353CC}">
              <c16:uniqueId val="{00000000-CF37-4CCF-A18C-B6554E74B698}"/>
            </c:ext>
          </c:extLst>
        </c:ser>
        <c:ser>
          <c:idx val="0"/>
          <c:order val="1"/>
          <c:tx>
            <c:v>1</c:v>
          </c:tx>
          <c:spPr>
            <a:ln w="15875">
              <a:solidFill>
                <a:schemeClr val="tx1"/>
              </a:solidFill>
            </a:ln>
          </c:spPr>
          <c:marker>
            <c:symbol val="none"/>
          </c:marker>
          <c:xVal>
            <c:numLit>
              <c:formatCode>General</c:formatCode>
              <c:ptCount val="3"/>
              <c:pt idx="0">
                <c:v>0.8</c:v>
              </c:pt>
              <c:pt idx="1">
                <c:v>0.8</c:v>
              </c:pt>
              <c:pt idx="2">
                <c:v>1.4</c:v>
              </c:pt>
            </c:numLit>
          </c:xVal>
          <c:yVal>
            <c:numLit>
              <c:formatCode>General</c:formatCode>
              <c:ptCount val="3"/>
              <c:pt idx="0">
                <c:v>0</c:v>
              </c:pt>
              <c:pt idx="1">
                <c:v>20</c:v>
              </c:pt>
              <c:pt idx="2">
                <c:v>20</c:v>
              </c:pt>
            </c:numLit>
          </c:yVal>
          <c:smooth val="0"/>
          <c:extLst>
            <c:ext xmlns:c16="http://schemas.microsoft.com/office/drawing/2014/chart" uri="{C3380CC4-5D6E-409C-BE32-E72D297353CC}">
              <c16:uniqueId val="{00000001-CF37-4CCF-A18C-B6554E74B698}"/>
            </c:ext>
          </c:extLst>
        </c:ser>
        <c:ser>
          <c:idx val="1"/>
          <c:order val="2"/>
          <c:tx>
            <c:v>2</c:v>
          </c:tx>
          <c:spPr>
            <a:ln w="15875">
              <a:solidFill>
                <a:schemeClr val="tx1"/>
              </a:solidFill>
            </a:ln>
          </c:spPr>
          <c:marker>
            <c:symbol val="none"/>
          </c:marker>
          <c:xVal>
            <c:numLit>
              <c:formatCode>General</c:formatCode>
              <c:ptCount val="3"/>
              <c:pt idx="0">
                <c:v>0.85</c:v>
              </c:pt>
              <c:pt idx="1">
                <c:v>0.85</c:v>
              </c:pt>
              <c:pt idx="2">
                <c:v>1.4</c:v>
              </c:pt>
            </c:numLit>
          </c:xVal>
          <c:yVal>
            <c:numLit>
              <c:formatCode>General</c:formatCode>
              <c:ptCount val="3"/>
              <c:pt idx="0">
                <c:v>0</c:v>
              </c:pt>
              <c:pt idx="1">
                <c:v>12</c:v>
              </c:pt>
              <c:pt idx="2">
                <c:v>12</c:v>
              </c:pt>
            </c:numLit>
          </c:yVal>
          <c:smooth val="0"/>
          <c:extLst>
            <c:ext xmlns:c16="http://schemas.microsoft.com/office/drawing/2014/chart" uri="{C3380CC4-5D6E-409C-BE32-E72D297353CC}">
              <c16:uniqueId val="{00000002-CF37-4CCF-A18C-B6554E74B698}"/>
            </c:ext>
          </c:extLst>
        </c:ser>
        <c:dLbls>
          <c:showLegendKey val="0"/>
          <c:showVal val="0"/>
          <c:showCatName val="0"/>
          <c:showSerName val="0"/>
          <c:showPercent val="0"/>
          <c:showBubbleSize val="0"/>
        </c:dLbls>
        <c:axId val="419271552"/>
        <c:axId val="1"/>
      </c:scatterChart>
      <c:valAx>
        <c:axId val="419271552"/>
        <c:scaling>
          <c:orientation val="minMax"/>
          <c:max val="1.4"/>
          <c:min val="0.4"/>
        </c:scaling>
        <c:delete val="0"/>
        <c:axPos val="b"/>
        <c:title>
          <c:tx>
            <c:rich>
              <a:bodyPr/>
              <a:lstStyle/>
              <a:p>
                <a:pPr>
                  <a:defRPr sz="1100" b="0" i="0" u="none" strike="noStrike" baseline="0">
                    <a:solidFill>
                      <a:srgbClr val="000000"/>
                    </a:solidFill>
                    <a:latin typeface="Arial Tur"/>
                    <a:ea typeface="Arial Tur"/>
                    <a:cs typeface="Arial Tur"/>
                  </a:defRPr>
                </a:pPr>
                <a:r>
                  <a:rPr lang="tr-TR" sz="1200" b="0" i="0" u="none" strike="noStrike" baseline="0">
                    <a:solidFill>
                      <a:srgbClr val="000000"/>
                    </a:solidFill>
                    <a:latin typeface="Arial"/>
                    <a:cs typeface="Arial"/>
                  </a:rPr>
                  <a:t>W</a:t>
                </a:r>
                <a:r>
                  <a:rPr lang="tr-TR" sz="1200" b="0" i="0" u="none" strike="noStrike" baseline="-25000">
                    <a:solidFill>
                      <a:srgbClr val="000000"/>
                    </a:solidFill>
                    <a:latin typeface="Arial"/>
                    <a:cs typeface="Arial"/>
                  </a:rPr>
                  <a:t>n</a:t>
                </a:r>
                <a:r>
                  <a:rPr lang="tr-TR" sz="1200" b="0" i="0" u="none" strike="noStrike" baseline="0">
                    <a:solidFill>
                      <a:srgbClr val="000000"/>
                    </a:solidFill>
                    <a:latin typeface="Arial"/>
                    <a:cs typeface="Arial"/>
                  </a:rPr>
                  <a:t>/LL</a:t>
                </a:r>
              </a:p>
            </c:rich>
          </c:tx>
          <c:overlay val="0"/>
        </c:title>
        <c:numFmt formatCode="0.00" sourceLinked="1"/>
        <c:majorTickMark val="out"/>
        <c:minorTickMark val="out"/>
        <c:tickLblPos val="nextTo"/>
        <c:spPr>
          <a:ln>
            <a:solidFill>
              <a:schemeClr val="tx1"/>
            </a:solidFill>
          </a:ln>
        </c:spPr>
        <c:txPr>
          <a:bodyPr rot="0" vert="horz"/>
          <a:lstStyle/>
          <a:p>
            <a:pPr>
              <a:defRPr sz="1200" b="0" i="0" u="none" strike="noStrike" baseline="0">
                <a:solidFill>
                  <a:srgbClr val="000000"/>
                </a:solidFill>
                <a:latin typeface="Arial"/>
                <a:ea typeface="Arial"/>
                <a:cs typeface="Arial"/>
              </a:defRPr>
            </a:pPr>
            <a:endParaRPr lang="tr-TR"/>
          </a:p>
        </c:txPr>
        <c:crossAx val="1"/>
        <c:crosses val="autoZero"/>
        <c:crossBetween val="midCat"/>
        <c:minorUnit val="0.1"/>
      </c:valAx>
      <c:valAx>
        <c:axId val="1"/>
        <c:scaling>
          <c:orientation val="minMax"/>
          <c:max val="50"/>
        </c:scaling>
        <c:delete val="0"/>
        <c:axPos val="l"/>
        <c:title>
          <c:tx>
            <c:rich>
              <a:bodyPr/>
              <a:lstStyle/>
              <a:p>
                <a:pPr>
                  <a:defRPr sz="1100" b="0" i="0" u="none" strike="noStrike" baseline="0">
                    <a:solidFill>
                      <a:srgbClr val="000000"/>
                    </a:solidFill>
                    <a:latin typeface="Arial Tur"/>
                    <a:ea typeface="Arial Tur"/>
                    <a:cs typeface="Arial Tur"/>
                  </a:defRPr>
                </a:pPr>
                <a:r>
                  <a:rPr lang="tr-TR" sz="1200" b="0" i="0" u="none" strike="noStrike" baseline="0">
                    <a:solidFill>
                      <a:srgbClr val="000000"/>
                    </a:solidFill>
                    <a:latin typeface="Arial"/>
                    <a:cs typeface="Arial"/>
                  </a:rPr>
                  <a:t>Plastisite İndeksi (PI)</a:t>
                </a:r>
              </a:p>
            </c:rich>
          </c:tx>
          <c:overlay val="0"/>
        </c:title>
        <c:numFmt formatCode="General" sourceLinked="1"/>
        <c:majorTickMark val="out"/>
        <c:minorTickMark val="out"/>
        <c:tickLblPos val="nextTo"/>
        <c:spPr>
          <a:ln>
            <a:solidFill>
              <a:schemeClr val="tx1"/>
            </a:solidFill>
          </a:ln>
        </c:spPr>
        <c:txPr>
          <a:bodyPr rot="0" vert="horz"/>
          <a:lstStyle/>
          <a:p>
            <a:pPr>
              <a:defRPr sz="1100" b="0" i="0" u="none" strike="noStrike" baseline="0">
                <a:solidFill>
                  <a:srgbClr val="000000"/>
                </a:solidFill>
                <a:latin typeface="Arial"/>
                <a:ea typeface="Arial"/>
                <a:cs typeface="Arial"/>
              </a:defRPr>
            </a:pPr>
            <a:endParaRPr lang="tr-TR"/>
          </a:p>
        </c:txPr>
        <c:crossAx val="419271552"/>
        <c:crosses val="autoZero"/>
        <c:crossBetween val="midCat"/>
        <c:majorUnit val="10"/>
        <c:minorUnit val="5"/>
      </c:valAx>
      <c:spPr>
        <a:ln>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65783822476734E-2"/>
          <c:y val="3.6770072992700735E-2"/>
          <c:w val="0.92081603435934145"/>
          <c:h val="0.81664152154338376"/>
        </c:manualLayout>
      </c:layout>
      <c:scatterChart>
        <c:scatterStyle val="lineMarker"/>
        <c:varyColors val="0"/>
        <c:ser>
          <c:idx val="0"/>
          <c:order val="0"/>
          <c:spPr>
            <a:ln w="25400" cap="rnd">
              <a:no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'Killerin sıvılaşma duyarlılığı'!$C$2:$C$8</c:f>
              <c:numCache>
                <c:formatCode>General</c:formatCode>
                <c:ptCount val="7"/>
                <c:pt idx="0">
                  <c:v>55</c:v>
                </c:pt>
                <c:pt idx="1">
                  <c:v>50</c:v>
                </c:pt>
                <c:pt idx="2">
                  <c:v>42</c:v>
                </c:pt>
                <c:pt idx="3">
                  <c:v>45</c:v>
                </c:pt>
                <c:pt idx="4">
                  <c:v>41</c:v>
                </c:pt>
                <c:pt idx="5">
                  <c:v>38</c:v>
                </c:pt>
              </c:numCache>
            </c:numRef>
          </c:xVal>
          <c:yVal>
            <c:numRef>
              <c:f>'Killerin sıvılaşma duyarlılığı'!$D$2:$D$8</c:f>
              <c:numCache>
                <c:formatCode>General</c:formatCode>
                <c:ptCount val="7"/>
                <c:pt idx="0">
                  <c:v>18</c:v>
                </c:pt>
                <c:pt idx="1">
                  <c:v>16</c:v>
                </c:pt>
                <c:pt idx="2">
                  <c:v>12</c:v>
                </c:pt>
                <c:pt idx="3">
                  <c:v>10</c:v>
                </c:pt>
                <c:pt idx="4">
                  <c:v>15</c:v>
                </c:pt>
                <c:pt idx="5">
                  <c:v>17</c:v>
                </c:pt>
              </c:numCache>
            </c:numRef>
          </c:yVal>
          <c:smooth val="0"/>
          <c:extLst>
            <c:ext xmlns:c16="http://schemas.microsoft.com/office/drawing/2014/chart" uri="{C3380CC4-5D6E-409C-BE32-E72D297353CC}">
              <c16:uniqueId val="{00000000-B126-48E0-97BC-6F6D9D008B27}"/>
            </c:ext>
          </c:extLst>
        </c:ser>
        <c:dLbls>
          <c:showLegendKey val="0"/>
          <c:showVal val="0"/>
          <c:showCatName val="0"/>
          <c:showSerName val="0"/>
          <c:showPercent val="0"/>
          <c:showBubbleSize val="0"/>
        </c:dLbls>
        <c:axId val="663452096"/>
        <c:axId val="663351776"/>
      </c:scatterChart>
      <c:valAx>
        <c:axId val="66345209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3351776"/>
        <c:crosses val="autoZero"/>
        <c:crossBetween val="midCat"/>
        <c:minorUnit val="5"/>
      </c:valAx>
      <c:valAx>
        <c:axId val="663351776"/>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3452096"/>
        <c:crosses val="autoZero"/>
        <c:crossBetween val="midCat"/>
        <c:min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55173</xdr:colOff>
      <xdr:row>4</xdr:row>
      <xdr:rowOff>107156</xdr:rowOff>
    </xdr:from>
    <xdr:to>
      <xdr:col>14</xdr:col>
      <xdr:colOff>41163</xdr:colOff>
      <xdr:row>8</xdr:row>
      <xdr:rowOff>238124</xdr:rowOff>
    </xdr:to>
    <xdr:pic>
      <xdr:nvPicPr>
        <xdr:cNvPr id="4" name="Resim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52" r="20469"/>
        <a:stretch/>
      </xdr:blipFill>
      <xdr:spPr>
        <a:xfrm>
          <a:off x="412361" y="976312"/>
          <a:ext cx="1295677" cy="1476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83344</xdr:colOff>
      <xdr:row>4</xdr:row>
      <xdr:rowOff>107156</xdr:rowOff>
    </xdr:from>
    <xdr:to>
      <xdr:col>14</xdr:col>
      <xdr:colOff>68581</xdr:colOff>
      <xdr:row>8</xdr:row>
      <xdr:rowOff>223575</xdr:rowOff>
    </xdr:to>
    <xdr:pic>
      <xdr:nvPicPr>
        <xdr:cNvPr id="2" name="Resi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52" r="20469"/>
        <a:stretch/>
      </xdr:blipFill>
      <xdr:spPr>
        <a:xfrm>
          <a:off x="440532" y="976312"/>
          <a:ext cx="1294924" cy="1461826"/>
        </a:xfrm>
        <a:prstGeom prst="rect">
          <a:avLst/>
        </a:prstGeom>
      </xdr:spPr>
    </xdr:pic>
    <xdr:clientData/>
  </xdr:twoCellAnchor>
  <xdr:twoCellAnchor>
    <xdr:from>
      <xdr:col>141</xdr:col>
      <xdr:colOff>113507</xdr:colOff>
      <xdr:row>6</xdr:row>
      <xdr:rowOff>262412</xdr:rowOff>
    </xdr:from>
    <xdr:to>
      <xdr:col>204</xdr:col>
      <xdr:colOff>32861</xdr:colOff>
      <xdr:row>16</xdr:row>
      <xdr:rowOff>166686</xdr:rowOff>
    </xdr:to>
    <xdr:grpSp>
      <xdr:nvGrpSpPr>
        <xdr:cNvPr id="4" name="Grup 3">
          <a:extLst>
            <a:ext uri="{FF2B5EF4-FFF2-40B4-BE49-F238E27FC236}">
              <a16:creationId xmlns:a16="http://schemas.microsoft.com/office/drawing/2014/main" id="{EAF1A5F9-9721-44FD-A3F0-7BE27AB49EB8}"/>
            </a:ext>
          </a:extLst>
        </xdr:cNvPr>
        <xdr:cNvGrpSpPr/>
      </xdr:nvGrpSpPr>
      <xdr:grpSpPr>
        <a:xfrm>
          <a:off x="17127538" y="1857850"/>
          <a:ext cx="7420292" cy="4226242"/>
          <a:chOff x="17114203" y="3398520"/>
          <a:chExt cx="7125017" cy="4187190"/>
        </a:xfrm>
      </xdr:grpSpPr>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alphaModFix amt="50000"/>
            <a:extLst>
              <a:ext uri="{28A0092B-C50C-407E-A947-70E740481C1C}">
                <a14:useLocalDpi xmlns:a14="http://schemas.microsoft.com/office/drawing/2010/main" val="0"/>
              </a:ext>
            </a:extLst>
          </a:blip>
          <a:srcRect/>
          <a:stretch>
            <a:fillRect/>
          </a:stretch>
        </xdr:blipFill>
        <xdr:spPr bwMode="auto">
          <a:xfrm>
            <a:off x="17114203" y="3643969"/>
            <a:ext cx="7125017" cy="3941741"/>
          </a:xfrm>
          <a:prstGeom prst="rect">
            <a:avLst/>
          </a:prstGeom>
          <a:solidFill>
            <a:srgbClr val="FFFFFF">
              <a:shade val="85000"/>
            </a:srgbClr>
          </a:solidFill>
          <a:ln w="25400" cap="rnd" cmpd="sng">
            <a:solidFill>
              <a:srgbClr val="F58345"/>
            </a:solidFill>
            <a:prstDash val="solid"/>
            <a:round/>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graphicFrame macro="">
        <xdr:nvGraphicFramePr>
          <xdr:cNvPr id="7" name="Grafik 6">
            <a:extLst>
              <a:ext uri="{FF2B5EF4-FFF2-40B4-BE49-F238E27FC236}">
                <a16:creationId xmlns:a16="http://schemas.microsoft.com/office/drawing/2014/main" id="{00000000-0008-0000-0300-000007000000}"/>
              </a:ext>
            </a:extLst>
          </xdr:cNvPr>
          <xdr:cNvGraphicFramePr>
            <a:graphicFrameLocks/>
          </xdr:cNvGraphicFramePr>
        </xdr:nvGraphicFramePr>
        <xdr:xfrm>
          <a:off x="17564100" y="3398520"/>
          <a:ext cx="4511040" cy="413264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141</xdr:col>
      <xdr:colOff>104298</xdr:colOff>
      <xdr:row>17</xdr:row>
      <xdr:rowOff>292418</xdr:rowOff>
    </xdr:from>
    <xdr:to>
      <xdr:col>195</xdr:col>
      <xdr:colOff>89058</xdr:colOff>
      <xdr:row>32</xdr:row>
      <xdr:rowOff>297657</xdr:rowOff>
    </xdr:to>
    <xdr:grpSp>
      <xdr:nvGrpSpPr>
        <xdr:cNvPr id="3" name="Grup 2">
          <a:extLst>
            <a:ext uri="{FF2B5EF4-FFF2-40B4-BE49-F238E27FC236}">
              <a16:creationId xmlns:a16="http://schemas.microsoft.com/office/drawing/2014/main" id="{57521BF2-EF64-4B23-A752-90E8CA5E5022}"/>
            </a:ext>
          </a:extLst>
        </xdr:cNvPr>
        <xdr:cNvGrpSpPr/>
      </xdr:nvGrpSpPr>
      <xdr:grpSpPr>
        <a:xfrm>
          <a:off x="17118329" y="6412231"/>
          <a:ext cx="6414135" cy="4648676"/>
          <a:chOff x="17038320" y="7955280"/>
          <a:chExt cx="6156960" cy="4671060"/>
        </a:xfrm>
      </xdr:grpSpPr>
      <xdr:pic>
        <xdr:nvPicPr>
          <xdr:cNvPr id="8" name="Resim 7">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4">
            <a:clrChange>
              <a:clrFrom>
                <a:srgbClr val="C2C2C2"/>
              </a:clrFrom>
              <a:clrTo>
                <a:srgbClr val="C2C2C2">
                  <a:alpha val="0"/>
                </a:srgbClr>
              </a:clrTo>
            </a:clrChange>
            <a:duotone>
              <a:prstClr val="black"/>
              <a:srgbClr val="000000">
                <a:alpha val="20000"/>
                <a:tint val="45000"/>
                <a:satMod val="400000"/>
              </a:srgbClr>
            </a:duotone>
            <a:extLst>
              <a:ext uri="{28A0092B-C50C-407E-A947-70E740481C1C}">
                <a14:useLocalDpi xmlns:a14="http://schemas.microsoft.com/office/drawing/2010/main" val="0"/>
              </a:ext>
            </a:extLst>
          </a:blip>
          <a:srcRect b="41869"/>
          <a:stretch/>
        </xdr:blipFill>
        <xdr:spPr bwMode="auto">
          <a:xfrm>
            <a:off x="17038320" y="7993380"/>
            <a:ext cx="5745480" cy="4624892"/>
          </a:xfrm>
          <a:prstGeom prst="rect">
            <a:avLst/>
          </a:prstGeom>
          <a:noFill/>
          <a:ln w="25400" cap="rnd">
            <a:solidFill>
              <a:schemeClr val="accent2"/>
            </a:solidFill>
          </a:ln>
          <a:extLst>
            <a:ext uri="{909E8E84-426E-40DD-AFC4-6F175D3DCCD1}">
              <a14:hiddenFill xmlns:a14="http://schemas.microsoft.com/office/drawing/2010/main">
                <a:solidFill>
                  <a:srgbClr val="FFFFFF"/>
                </a:solidFill>
              </a14:hiddenFill>
            </a:ext>
          </a:extLst>
        </xdr:spPr>
      </xdr:pic>
      <xdr:graphicFrame macro="">
        <xdr:nvGraphicFramePr>
          <xdr:cNvPr id="9" name="Chart 3">
            <a:extLst>
              <a:ext uri="{FF2B5EF4-FFF2-40B4-BE49-F238E27FC236}">
                <a16:creationId xmlns:a16="http://schemas.microsoft.com/office/drawing/2014/main" id="{00000000-0008-0000-0300-000009000000}"/>
              </a:ext>
            </a:extLst>
          </xdr:cNvPr>
          <xdr:cNvGraphicFramePr>
            <a:graphicFrameLocks/>
          </xdr:cNvGraphicFramePr>
        </xdr:nvGraphicFramePr>
        <xdr:xfrm>
          <a:off x="17091660" y="7955280"/>
          <a:ext cx="6103620" cy="467106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350520</xdr:colOff>
      <xdr:row>0</xdr:row>
      <xdr:rowOff>236220</xdr:rowOff>
    </xdr:from>
    <xdr:to>
      <xdr:col>14</xdr:col>
      <xdr:colOff>335280</xdr:colOff>
      <xdr:row>18</xdr:row>
      <xdr:rowOff>144780</xdr:rowOff>
    </xdr:to>
    <xdr:graphicFrame macro="">
      <xdr:nvGraphicFramePr>
        <xdr:cNvPr id="2" name="Chart 1">
          <a:extLst>
            <a:ext uri="{FF2B5EF4-FFF2-40B4-BE49-F238E27FC236}">
              <a16:creationId xmlns:a16="http://schemas.microsoft.com/office/drawing/2014/main" id="{0188C66D-A24E-4219-A013-1BB193E4D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274249</xdr:colOff>
      <xdr:row>21</xdr:row>
      <xdr:rowOff>30480</xdr:rowOff>
    </xdr:from>
    <xdr:to>
      <xdr:col>17</xdr:col>
      <xdr:colOff>259080</xdr:colOff>
      <xdr:row>46</xdr:row>
      <xdr:rowOff>177826</xdr:rowOff>
    </xdr:to>
    <xdr:grpSp>
      <xdr:nvGrpSpPr>
        <xdr:cNvPr id="14" name="Grup 13">
          <a:extLst>
            <a:ext uri="{FF2B5EF4-FFF2-40B4-BE49-F238E27FC236}">
              <a16:creationId xmlns:a16="http://schemas.microsoft.com/office/drawing/2014/main" id="{57CAB898-81F2-404B-9683-1491DB6F08DF}"/>
            </a:ext>
          </a:extLst>
        </xdr:cNvPr>
        <xdr:cNvGrpSpPr/>
      </xdr:nvGrpSpPr>
      <xdr:grpSpPr>
        <a:xfrm>
          <a:off x="4084249" y="4507230"/>
          <a:ext cx="7300031" cy="4919371"/>
          <a:chOff x="4152829" y="4465320"/>
          <a:chExt cx="7300031" cy="4765066"/>
        </a:xfrm>
      </xdr:grpSpPr>
      <xdr:graphicFrame macro="">
        <xdr:nvGraphicFramePr>
          <xdr:cNvPr id="3" name="Grafik 2">
            <a:extLst>
              <a:ext uri="{FF2B5EF4-FFF2-40B4-BE49-F238E27FC236}">
                <a16:creationId xmlns:a16="http://schemas.microsoft.com/office/drawing/2014/main" id="{D7E469BE-FA05-4502-AA3F-07F1C13F44AA}"/>
              </a:ext>
            </a:extLst>
          </xdr:cNvPr>
          <xdr:cNvGraphicFramePr>
            <a:graphicFrameLocks/>
          </xdr:cNvGraphicFramePr>
        </xdr:nvGraphicFramePr>
        <xdr:xfrm>
          <a:off x="4655820" y="4785360"/>
          <a:ext cx="6705600" cy="43815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4" name="Group 3">
            <a:extLst>
              <a:ext uri="{FF2B5EF4-FFF2-40B4-BE49-F238E27FC236}">
                <a16:creationId xmlns:a16="http://schemas.microsoft.com/office/drawing/2014/main" id="{D683CE53-14E5-4590-8EB6-957BD192FFD5}"/>
              </a:ext>
            </a:extLst>
          </xdr:cNvPr>
          <xdr:cNvGrpSpPr>
            <a:grpSpLocks noChangeAspect="1"/>
          </xdr:cNvGrpSpPr>
        </xdr:nvGrpSpPr>
        <xdr:grpSpPr bwMode="auto">
          <a:xfrm>
            <a:off x="4152829" y="4465320"/>
            <a:ext cx="7300031" cy="4765066"/>
            <a:chOff x="543" y="586"/>
            <a:chExt cx="961" cy="574"/>
          </a:xfrm>
        </xdr:grpSpPr>
        <xdr:sp macro="" textlink="">
          <xdr:nvSpPr>
            <xdr:cNvPr id="5" name="AutoShape 2">
              <a:extLst>
                <a:ext uri="{FF2B5EF4-FFF2-40B4-BE49-F238E27FC236}">
                  <a16:creationId xmlns:a16="http://schemas.microsoft.com/office/drawing/2014/main" id="{BBE47516-F9B3-483B-8F76-A0FDB9279F11}"/>
                </a:ext>
              </a:extLst>
            </xdr:cNvPr>
            <xdr:cNvSpPr>
              <a:spLocks noChangeAspect="1" noChangeArrowheads="1" noTextEdit="1"/>
            </xdr:cNvSpPr>
          </xdr:nvSpPr>
          <xdr:spPr bwMode="auto">
            <a:xfrm>
              <a:off x="543" y="586"/>
              <a:ext cx="961" cy="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tr-TR"/>
            </a:p>
          </xdr:txBody>
        </xdr:sp>
        <xdr:pic>
          <xdr:nvPicPr>
            <xdr:cNvPr id="6" name="Resim 5">
              <a:extLst>
                <a:ext uri="{FF2B5EF4-FFF2-40B4-BE49-F238E27FC236}">
                  <a16:creationId xmlns:a16="http://schemas.microsoft.com/office/drawing/2014/main" id="{0B17EF25-A394-4EF7-97CC-15B70B43809D}"/>
                </a:ext>
              </a:extLst>
            </xdr:cNvPr>
            <xdr:cNvPicPr>
              <a:picLocks noChangeAspect="1" noChangeArrowheads="1"/>
            </xdr:cNvPicPr>
          </xdr:nvPicPr>
          <xdr:blipFill rotWithShape="1">
            <a:blip xmlns:r="http://schemas.openxmlformats.org/officeDocument/2006/relationships" r:embed="rId3">
              <a:alphaModFix amt="35000"/>
              <a:extLst>
                <a:ext uri="{28A0092B-C50C-407E-A947-70E740481C1C}">
                  <a14:useLocalDpi xmlns:a14="http://schemas.microsoft.com/office/drawing/2010/main" val="0"/>
                </a:ext>
              </a:extLst>
            </a:blip>
            <a:srcRect l="9088" b="12662"/>
            <a:stretch/>
          </xdr:blipFill>
          <xdr:spPr bwMode="auto">
            <a:xfrm>
              <a:off x="627" y="617"/>
              <a:ext cx="875" cy="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6</xdr:col>
      <xdr:colOff>563880</xdr:colOff>
      <xdr:row>0</xdr:row>
      <xdr:rowOff>579120</xdr:rowOff>
    </xdr:from>
    <xdr:to>
      <xdr:col>10</xdr:col>
      <xdr:colOff>335280</xdr:colOff>
      <xdr:row>1</xdr:row>
      <xdr:rowOff>175260</xdr:rowOff>
    </xdr:to>
    <xdr:sp macro="" textlink="">
      <xdr:nvSpPr>
        <xdr:cNvPr id="7" name="Metin kutusu 6">
          <a:extLst>
            <a:ext uri="{FF2B5EF4-FFF2-40B4-BE49-F238E27FC236}">
              <a16:creationId xmlns:a16="http://schemas.microsoft.com/office/drawing/2014/main" id="{9A9DF4F8-947A-4345-B4F8-421E76E97103}"/>
            </a:ext>
          </a:extLst>
        </xdr:cNvPr>
        <xdr:cNvSpPr txBox="1"/>
      </xdr:nvSpPr>
      <xdr:spPr>
        <a:xfrm>
          <a:off x="5074920" y="579120"/>
          <a:ext cx="220980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200">
              <a:solidFill>
                <a:srgbClr val="FF0000"/>
              </a:solidFill>
            </a:rPr>
            <a:t>Sıvılaşma olmaz/</a:t>
          </a:r>
          <a:r>
            <a:rPr lang="tr-TR" sz="1200" i="1">
              <a:solidFill>
                <a:srgbClr val="FF0000"/>
              </a:solidFill>
            </a:rPr>
            <a:t>Not Susceptible</a:t>
          </a:r>
        </a:p>
      </xdr:txBody>
    </xdr:sp>
    <xdr:clientData/>
  </xdr:twoCellAnchor>
  <xdr:twoCellAnchor>
    <xdr:from>
      <xdr:col>10</xdr:col>
      <xdr:colOff>228600</xdr:colOff>
      <xdr:row>10</xdr:row>
      <xdr:rowOff>53340</xdr:rowOff>
    </xdr:from>
    <xdr:to>
      <xdr:col>13</xdr:col>
      <xdr:colOff>510540</xdr:colOff>
      <xdr:row>11</xdr:row>
      <xdr:rowOff>175260</xdr:rowOff>
    </xdr:to>
    <xdr:sp macro="" textlink="">
      <xdr:nvSpPr>
        <xdr:cNvPr id="8" name="Metin kutusu 7">
          <a:extLst>
            <a:ext uri="{FF2B5EF4-FFF2-40B4-BE49-F238E27FC236}">
              <a16:creationId xmlns:a16="http://schemas.microsoft.com/office/drawing/2014/main" id="{021C7241-8046-4A69-8A94-59709F156C41}"/>
            </a:ext>
          </a:extLst>
        </xdr:cNvPr>
        <xdr:cNvSpPr txBox="1"/>
      </xdr:nvSpPr>
      <xdr:spPr>
        <a:xfrm>
          <a:off x="7178040" y="2415540"/>
          <a:ext cx="211074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200">
              <a:solidFill>
                <a:srgbClr val="FF0000"/>
              </a:solidFill>
            </a:rPr>
            <a:t>Deney/</a:t>
          </a:r>
          <a:r>
            <a:rPr lang="tr-TR" sz="1200" i="1">
              <a:solidFill>
                <a:srgbClr val="FF0000"/>
              </a:solidFill>
            </a:rPr>
            <a:t>Moderately Susceptible</a:t>
          </a:r>
        </a:p>
      </xdr:txBody>
    </xdr:sp>
    <xdr:clientData/>
  </xdr:twoCellAnchor>
  <xdr:twoCellAnchor>
    <xdr:from>
      <xdr:col>10</xdr:col>
      <xdr:colOff>220980</xdr:colOff>
      <xdr:row>13</xdr:row>
      <xdr:rowOff>22860</xdr:rowOff>
    </xdr:from>
    <xdr:to>
      <xdr:col>13</xdr:col>
      <xdr:colOff>533400</xdr:colOff>
      <xdr:row>14</xdr:row>
      <xdr:rowOff>175260</xdr:rowOff>
    </xdr:to>
    <xdr:sp macro="" textlink="">
      <xdr:nvSpPr>
        <xdr:cNvPr id="9" name="Metin kutusu 8">
          <a:extLst>
            <a:ext uri="{FF2B5EF4-FFF2-40B4-BE49-F238E27FC236}">
              <a16:creationId xmlns:a16="http://schemas.microsoft.com/office/drawing/2014/main" id="{F34319AE-4BB1-41F5-B04F-37BBAF87272E}"/>
            </a:ext>
          </a:extLst>
        </xdr:cNvPr>
        <xdr:cNvSpPr txBox="1"/>
      </xdr:nvSpPr>
      <xdr:spPr>
        <a:xfrm>
          <a:off x="7170420" y="2933700"/>
          <a:ext cx="214122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r-TR" sz="1200">
              <a:solidFill>
                <a:srgbClr val="FF0000"/>
              </a:solidFill>
            </a:rPr>
            <a:t>Sıvılaşmaya</a:t>
          </a:r>
          <a:r>
            <a:rPr lang="tr-TR" sz="1200" baseline="0">
              <a:solidFill>
                <a:srgbClr val="FF0000"/>
              </a:solidFill>
            </a:rPr>
            <a:t> hassas/</a:t>
          </a:r>
          <a:r>
            <a:rPr lang="tr-TR" sz="1200" i="1">
              <a:solidFill>
                <a:srgbClr val="FF0000"/>
              </a:solidFill>
            </a:rPr>
            <a:t>Susceptible</a:t>
          </a:r>
        </a:p>
      </xdr:txBody>
    </xdr:sp>
    <xdr:clientData/>
  </xdr:twoCellAnchor>
  <xdr:twoCellAnchor>
    <xdr:from>
      <xdr:col>6</xdr:col>
      <xdr:colOff>556260</xdr:colOff>
      <xdr:row>1</xdr:row>
      <xdr:rowOff>60960</xdr:rowOff>
    </xdr:from>
    <xdr:to>
      <xdr:col>9</xdr:col>
      <xdr:colOff>251460</xdr:colOff>
      <xdr:row>5</xdr:row>
      <xdr:rowOff>121920</xdr:rowOff>
    </xdr:to>
    <xdr:sp macro="" textlink="">
      <xdr:nvSpPr>
        <xdr:cNvPr id="10" name="Metin kutusu 9">
          <a:extLst>
            <a:ext uri="{FF2B5EF4-FFF2-40B4-BE49-F238E27FC236}">
              <a16:creationId xmlns:a16="http://schemas.microsoft.com/office/drawing/2014/main" id="{A71E7048-1DC9-49F7-9FE8-DF38A3587DCE}"/>
            </a:ext>
          </a:extLst>
        </xdr:cNvPr>
        <xdr:cNvSpPr txBox="1"/>
      </xdr:nvSpPr>
      <xdr:spPr>
        <a:xfrm>
          <a:off x="5067300" y="762000"/>
          <a:ext cx="152400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400"/>
            <a:t>σ</a:t>
          </a:r>
          <a:r>
            <a:rPr lang="tr-TR" sz="1400"/>
            <a:t>'</a:t>
          </a:r>
          <a:r>
            <a:rPr lang="tr-TR" sz="1400" baseline="-25000"/>
            <a:t>m</a:t>
          </a:r>
          <a:r>
            <a:rPr lang="tr-TR" sz="1400"/>
            <a:t>&lt;100 kPa</a:t>
          </a:r>
        </a:p>
        <a:p>
          <a:r>
            <a:rPr lang="tr-TR" sz="1400" i="1"/>
            <a:t>N</a:t>
          </a:r>
          <a:r>
            <a:rPr lang="tr-TR" sz="1400" baseline="-25000"/>
            <a:t>1,60</a:t>
          </a:r>
          <a:r>
            <a:rPr lang="tr-TR" sz="1400"/>
            <a:t>&lt;10</a:t>
          </a:r>
        </a:p>
        <a:p>
          <a:r>
            <a:rPr lang="tr-TR" sz="1400"/>
            <a:t>0.70&lt;e&lt;1.23</a:t>
          </a:r>
        </a:p>
      </xdr:txBody>
    </xdr:sp>
    <xdr:clientData/>
  </xdr:twoCellAnchor>
  <xdr:twoCellAnchor>
    <xdr:from>
      <xdr:col>7</xdr:col>
      <xdr:colOff>152400</xdr:colOff>
      <xdr:row>23</xdr:row>
      <xdr:rowOff>106680</xdr:rowOff>
    </xdr:from>
    <xdr:to>
      <xdr:col>10</xdr:col>
      <xdr:colOff>449580</xdr:colOff>
      <xdr:row>25</xdr:row>
      <xdr:rowOff>15240</xdr:rowOff>
    </xdr:to>
    <xdr:sp macro="" textlink="">
      <xdr:nvSpPr>
        <xdr:cNvPr id="11" name="Metin kutusu 10">
          <a:extLst>
            <a:ext uri="{FF2B5EF4-FFF2-40B4-BE49-F238E27FC236}">
              <a16:creationId xmlns:a16="http://schemas.microsoft.com/office/drawing/2014/main" id="{68CFEF64-C277-4599-8DB2-7E6EF946ABB5}"/>
            </a:ext>
          </a:extLst>
        </xdr:cNvPr>
        <xdr:cNvSpPr txBox="1"/>
      </xdr:nvSpPr>
      <xdr:spPr>
        <a:xfrm>
          <a:off x="5273040" y="4899660"/>
          <a:ext cx="21259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400" b="1"/>
            <a:t>Geçerli olduğu durumlar</a:t>
          </a:r>
        </a:p>
      </xdr:txBody>
    </xdr:sp>
    <xdr:clientData/>
  </xdr:twoCellAnchor>
  <xdr:twoCellAnchor>
    <xdr:from>
      <xdr:col>12</xdr:col>
      <xdr:colOff>312420</xdr:colOff>
      <xdr:row>37</xdr:row>
      <xdr:rowOff>144780</xdr:rowOff>
    </xdr:from>
    <xdr:to>
      <xdr:col>16</xdr:col>
      <xdr:colOff>586740</xdr:colOff>
      <xdr:row>39</xdr:row>
      <xdr:rowOff>45720</xdr:rowOff>
    </xdr:to>
    <xdr:sp macro="" textlink="">
      <xdr:nvSpPr>
        <xdr:cNvPr id="12" name="Metin kutusu 11">
          <a:extLst>
            <a:ext uri="{FF2B5EF4-FFF2-40B4-BE49-F238E27FC236}">
              <a16:creationId xmlns:a16="http://schemas.microsoft.com/office/drawing/2014/main" id="{62152314-3804-43E8-A6AB-D99254423D98}"/>
            </a:ext>
          </a:extLst>
        </xdr:cNvPr>
        <xdr:cNvSpPr txBox="1"/>
      </xdr:nvSpPr>
      <xdr:spPr>
        <a:xfrm>
          <a:off x="8481060" y="7528560"/>
          <a:ext cx="27127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400" b="1"/>
            <a:t>ZON</a:t>
          </a:r>
          <a:r>
            <a:rPr lang="tr-TR" sz="1400" b="1" baseline="0"/>
            <a:t> B: Deney gerekir </a:t>
          </a:r>
          <a:r>
            <a:rPr lang="tr-TR" sz="1400" b="1" baseline="0">
              <a:solidFill>
                <a:schemeClr val="dk1"/>
              </a:solidFill>
              <a:effectLst/>
              <a:latin typeface="Times New Roman" panose="02020603050405020304" pitchFamily="18" charset="0"/>
              <a:ea typeface="+mn-ea"/>
              <a:cs typeface="Times New Roman" panose="02020603050405020304" pitchFamily="18" charset="0"/>
            </a:rPr>
            <a:t>w</a:t>
          </a:r>
          <a:r>
            <a:rPr lang="tr-TR" sz="1400" b="1" baseline="-25000">
              <a:solidFill>
                <a:schemeClr val="dk1"/>
              </a:solidFill>
              <a:effectLst/>
              <a:latin typeface="Times New Roman" panose="02020603050405020304" pitchFamily="18" charset="0"/>
              <a:ea typeface="+mn-ea"/>
              <a:cs typeface="Times New Roman" panose="02020603050405020304" pitchFamily="18" charset="0"/>
            </a:rPr>
            <a:t>c</a:t>
          </a:r>
          <a:r>
            <a:rPr lang="tr-TR" sz="1400" b="1" baseline="0"/>
            <a:t>&gt;0.85 (LL)</a:t>
          </a:r>
          <a:endParaRPr lang="tr-TR" sz="1400" b="1"/>
        </a:p>
      </xdr:txBody>
    </xdr:sp>
    <xdr:clientData/>
  </xdr:twoCellAnchor>
  <xdr:twoCellAnchor>
    <xdr:from>
      <xdr:col>12</xdr:col>
      <xdr:colOff>327660</xdr:colOff>
      <xdr:row>40</xdr:row>
      <xdr:rowOff>76200</xdr:rowOff>
    </xdr:from>
    <xdr:to>
      <xdr:col>16</xdr:col>
      <xdr:colOff>510540</xdr:colOff>
      <xdr:row>42</xdr:row>
      <xdr:rowOff>7620</xdr:rowOff>
    </xdr:to>
    <xdr:sp macro="" textlink="">
      <xdr:nvSpPr>
        <xdr:cNvPr id="13" name="Metin kutusu 12">
          <a:extLst>
            <a:ext uri="{FF2B5EF4-FFF2-40B4-BE49-F238E27FC236}">
              <a16:creationId xmlns:a16="http://schemas.microsoft.com/office/drawing/2014/main" id="{9CD36C44-014E-4D25-868D-8EBD9DBCAB4B}"/>
            </a:ext>
          </a:extLst>
        </xdr:cNvPr>
        <xdr:cNvSpPr txBox="1"/>
      </xdr:nvSpPr>
      <xdr:spPr>
        <a:xfrm>
          <a:off x="8496300" y="8008620"/>
          <a:ext cx="262128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tr-TR" sz="1400" b="1">
              <a:solidFill>
                <a:schemeClr val="dk1"/>
              </a:solidFill>
              <a:effectLst/>
              <a:latin typeface="+mn-lt"/>
              <a:ea typeface="+mn-ea"/>
              <a:cs typeface="+mn-cs"/>
            </a:rPr>
            <a:t>ZON</a:t>
          </a:r>
          <a:r>
            <a:rPr lang="tr-TR" sz="1400" b="1" baseline="0">
              <a:solidFill>
                <a:schemeClr val="dk1"/>
              </a:solidFill>
              <a:effectLst/>
              <a:latin typeface="+mn-lt"/>
              <a:ea typeface="+mn-ea"/>
              <a:cs typeface="+mn-cs"/>
            </a:rPr>
            <a:t> A: Sıvılaşır </a:t>
          </a:r>
          <a:r>
            <a:rPr lang="tr-TR" sz="1400" b="1" baseline="0">
              <a:solidFill>
                <a:schemeClr val="dk1"/>
              </a:solidFill>
              <a:effectLst/>
              <a:latin typeface="Times New Roman" panose="02020603050405020304" pitchFamily="18" charset="0"/>
              <a:ea typeface="+mn-ea"/>
              <a:cs typeface="Times New Roman" panose="02020603050405020304" pitchFamily="18" charset="0"/>
            </a:rPr>
            <a:t>w</a:t>
          </a:r>
          <a:r>
            <a:rPr lang="tr-TR" sz="1400" b="1" baseline="-25000">
              <a:solidFill>
                <a:schemeClr val="dk1"/>
              </a:solidFill>
              <a:effectLst/>
              <a:latin typeface="Times New Roman" panose="02020603050405020304" pitchFamily="18" charset="0"/>
              <a:ea typeface="+mn-ea"/>
              <a:cs typeface="Times New Roman" panose="02020603050405020304" pitchFamily="18" charset="0"/>
            </a:rPr>
            <a:t>c</a:t>
          </a:r>
          <a:r>
            <a:rPr lang="tr-TR" sz="1400" b="1" baseline="0">
              <a:solidFill>
                <a:schemeClr val="dk1"/>
              </a:solidFill>
              <a:effectLst/>
              <a:latin typeface="+mn-lt"/>
              <a:ea typeface="+mn-ea"/>
              <a:cs typeface="+mn-cs"/>
            </a:rPr>
            <a:t>&gt;0.8 (LL)</a:t>
          </a:r>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238983</xdr:colOff>
      <xdr:row>48</xdr:row>
      <xdr:rowOff>127635</xdr:rowOff>
    </xdr:from>
    <xdr:to>
      <xdr:col>18</xdr:col>
      <xdr:colOff>182880</xdr:colOff>
      <xdr:row>71</xdr:row>
      <xdr:rowOff>181600</xdr:rowOff>
    </xdr:to>
    <xdr:pic>
      <xdr:nvPicPr>
        <xdr:cNvPr id="2" name="Resi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5903" y="9652635"/>
          <a:ext cx="6146577" cy="4260205"/>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pageSetUpPr fitToPage="1"/>
  </sheetPr>
  <dimension ref="A1:QW629"/>
  <sheetViews>
    <sheetView showGridLines="0" tabSelected="1" view="pageBreakPreview" topLeftCell="B1" zoomScale="89" zoomScaleNormal="89" zoomScaleSheetLayoutView="89" workbookViewId="0">
      <selection activeCell="B2" sqref="B2:CM4"/>
    </sheetView>
  </sheetViews>
  <sheetFormatPr defaultColWidth="9.140625" defaultRowHeight="15.75"/>
  <cols>
    <col min="1" max="1" width="1.7109375" style="5" customWidth="1"/>
    <col min="2" max="77" width="1.7109375" style="1" customWidth="1"/>
    <col min="78" max="79" width="2.28515625" style="1" customWidth="1"/>
    <col min="80" max="110" width="1.7109375" style="1" customWidth="1"/>
    <col min="111" max="217" width="1.7109375" style="5" customWidth="1"/>
    <col min="218" max="242" width="1.7109375" style="5" hidden="1" customWidth="1"/>
    <col min="243" max="425" width="1.7109375" style="5" customWidth="1"/>
    <col min="426" max="562" width="1.7109375" style="1" customWidth="1"/>
    <col min="563" max="16384" width="9.140625" style="1"/>
  </cols>
  <sheetData>
    <row r="1" spans="2:465" s="5" customFormat="1" ht="9.9499999999999993" customHeight="1" thickBot="1">
      <c r="BZ1" s="24"/>
    </row>
    <row r="2" spans="2:465" ht="20.100000000000001" customHeight="1" thickTop="1">
      <c r="B2" s="436" t="s">
        <v>240</v>
      </c>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8"/>
      <c r="CN2" s="24"/>
      <c r="CO2" s="5"/>
      <c r="CP2" s="5"/>
      <c r="CQ2" s="5"/>
      <c r="CR2" s="5"/>
      <c r="CS2" s="5"/>
      <c r="CT2" s="5"/>
      <c r="CU2" s="5"/>
      <c r="CV2" s="5"/>
      <c r="CW2" s="5"/>
      <c r="CX2" s="5"/>
      <c r="CY2" s="5"/>
      <c r="CZ2" s="5"/>
      <c r="DA2" s="5"/>
      <c r="DB2" s="5"/>
      <c r="DC2" s="5"/>
      <c r="DD2" s="5"/>
      <c r="DE2" s="5"/>
      <c r="DF2" s="5"/>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row>
    <row r="3" spans="2:465" ht="20.100000000000001" customHeight="1">
      <c r="B3" s="439"/>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0"/>
      <c r="CB3" s="440"/>
      <c r="CC3" s="440"/>
      <c r="CD3" s="440"/>
      <c r="CE3" s="440"/>
      <c r="CF3" s="440"/>
      <c r="CG3" s="440"/>
      <c r="CH3" s="440"/>
      <c r="CI3" s="440"/>
      <c r="CJ3" s="440"/>
      <c r="CK3" s="440"/>
      <c r="CL3" s="440"/>
      <c r="CM3" s="441"/>
      <c r="CN3" s="24"/>
      <c r="CO3" s="5"/>
      <c r="CP3" s="5"/>
      <c r="CQ3" s="5"/>
      <c r="CR3" s="5"/>
      <c r="CS3" s="5"/>
      <c r="CT3" s="5"/>
      <c r="CU3" s="5"/>
      <c r="CV3" s="5"/>
      <c r="CW3" s="5"/>
      <c r="CX3" s="5"/>
      <c r="CY3" s="5"/>
      <c r="CZ3" s="5"/>
      <c r="DA3" s="5"/>
      <c r="DB3" s="5"/>
      <c r="DC3" s="5"/>
      <c r="DD3" s="5"/>
      <c r="DE3" s="5"/>
      <c r="DF3" s="5"/>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row>
    <row r="4" spans="2:465" ht="20.100000000000001" customHeight="1" thickBot="1">
      <c r="B4" s="442"/>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4"/>
      <c r="CN4" s="24"/>
      <c r="CO4" s="5"/>
      <c r="CP4" s="5"/>
      <c r="CQ4" s="5"/>
      <c r="CR4" s="5"/>
      <c r="CS4" s="5"/>
      <c r="CT4" s="5"/>
      <c r="CU4" s="5"/>
      <c r="CV4" s="5"/>
      <c r="CW4" s="5"/>
      <c r="CX4" s="5"/>
      <c r="CY4" s="5"/>
      <c r="CZ4" s="5"/>
      <c r="DA4" s="5"/>
      <c r="DB4" s="5"/>
      <c r="DC4" s="5"/>
      <c r="DD4" s="5"/>
      <c r="DE4" s="5"/>
      <c r="DF4" s="5"/>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row>
    <row r="5" spans="2:465" ht="33" customHeight="1" thickTop="1" thickBot="1">
      <c r="B5" s="457"/>
      <c r="C5" s="458"/>
      <c r="D5" s="458"/>
      <c r="E5" s="458"/>
      <c r="F5" s="458"/>
      <c r="G5" s="458"/>
      <c r="H5" s="458"/>
      <c r="I5" s="458"/>
      <c r="J5" s="458"/>
      <c r="K5" s="458"/>
      <c r="L5" s="458"/>
      <c r="M5" s="458"/>
      <c r="N5" s="458"/>
      <c r="O5" s="458"/>
      <c r="P5" s="458"/>
      <c r="Q5" s="458"/>
      <c r="R5" s="464" t="s">
        <v>44</v>
      </c>
      <c r="S5" s="465"/>
      <c r="T5" s="465"/>
      <c r="U5" s="465"/>
      <c r="V5" s="465"/>
      <c r="W5" s="465"/>
      <c r="X5" s="465"/>
      <c r="Y5" s="465"/>
      <c r="Z5" s="465"/>
      <c r="AA5" s="465"/>
      <c r="AB5" s="466"/>
      <c r="AC5" s="461" t="s">
        <v>21</v>
      </c>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3"/>
      <c r="CN5" s="24"/>
      <c r="CO5" s="5"/>
      <c r="CP5" s="5"/>
      <c r="CQ5" s="5"/>
      <c r="CR5" s="5"/>
      <c r="CS5" s="5"/>
      <c r="CT5" s="5"/>
      <c r="CU5" s="5"/>
      <c r="CV5" s="5"/>
      <c r="CW5" s="5"/>
      <c r="CX5" s="5"/>
      <c r="CY5" s="5"/>
      <c r="CZ5" s="5"/>
      <c r="DA5" s="5"/>
      <c r="DB5" s="5"/>
      <c r="DC5" s="5"/>
      <c r="DD5" s="5"/>
      <c r="DE5" s="5"/>
      <c r="DF5" s="5"/>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row>
    <row r="6" spans="2:465" ht="24" customHeight="1" thickTop="1">
      <c r="B6" s="459"/>
      <c r="C6" s="460"/>
      <c r="D6" s="460"/>
      <c r="E6" s="460"/>
      <c r="F6" s="460"/>
      <c r="G6" s="460"/>
      <c r="H6" s="460"/>
      <c r="I6" s="460"/>
      <c r="J6" s="460"/>
      <c r="K6" s="460"/>
      <c r="L6" s="460"/>
      <c r="M6" s="460"/>
      <c r="N6" s="460"/>
      <c r="O6" s="460"/>
      <c r="P6" s="460"/>
      <c r="Q6" s="460"/>
      <c r="R6" s="470" t="s">
        <v>23</v>
      </c>
      <c r="S6" s="471"/>
      <c r="T6" s="471"/>
      <c r="U6" s="471"/>
      <c r="V6" s="471"/>
      <c r="W6" s="471"/>
      <c r="X6" s="471"/>
      <c r="Y6" s="471"/>
      <c r="Z6" s="471"/>
      <c r="AA6" s="471"/>
      <c r="AB6" s="472"/>
      <c r="AC6" s="467" t="s">
        <v>22</v>
      </c>
      <c r="AD6" s="468"/>
      <c r="AE6" s="468"/>
      <c r="AF6" s="468"/>
      <c r="AG6" s="468"/>
      <c r="AH6" s="468"/>
      <c r="AI6" s="468"/>
      <c r="AJ6" s="468"/>
      <c r="AK6" s="468"/>
      <c r="AL6" s="469"/>
      <c r="AM6" s="494" t="s">
        <v>30</v>
      </c>
      <c r="AN6" s="495"/>
      <c r="AO6" s="495"/>
      <c r="AP6" s="495"/>
      <c r="AQ6" s="495"/>
      <c r="AR6" s="495"/>
      <c r="AS6" s="495"/>
      <c r="AT6" s="495"/>
      <c r="AU6" s="495"/>
      <c r="AV6" s="495"/>
      <c r="AW6" s="495"/>
      <c r="AX6" s="495"/>
      <c r="AY6" s="495"/>
      <c r="AZ6" s="495"/>
      <c r="BA6" s="495"/>
      <c r="BB6" s="495"/>
      <c r="BC6" s="445" t="s">
        <v>25</v>
      </c>
      <c r="BD6" s="445"/>
      <c r="BE6" s="445"/>
      <c r="BF6" s="445"/>
      <c r="BG6" s="445"/>
      <c r="BH6" s="445"/>
      <c r="BI6" s="445"/>
      <c r="BJ6" s="445"/>
      <c r="BK6" s="445"/>
      <c r="BL6" s="445" t="s">
        <v>26</v>
      </c>
      <c r="BM6" s="445"/>
      <c r="BN6" s="445"/>
      <c r="BO6" s="445"/>
      <c r="BP6" s="445"/>
      <c r="BQ6" s="445"/>
      <c r="BR6" s="445"/>
      <c r="BS6" s="449"/>
      <c r="BT6" s="450" t="s">
        <v>28</v>
      </c>
      <c r="BU6" s="445"/>
      <c r="BV6" s="445"/>
      <c r="BW6" s="445"/>
      <c r="BX6" s="445"/>
      <c r="BY6" s="445"/>
      <c r="BZ6" s="445"/>
      <c r="CA6" s="445"/>
      <c r="CB6" s="445"/>
      <c r="CC6" s="445"/>
      <c r="CD6" s="445" t="s">
        <v>27</v>
      </c>
      <c r="CE6" s="445"/>
      <c r="CF6" s="445"/>
      <c r="CG6" s="445"/>
      <c r="CH6" s="445"/>
      <c r="CI6" s="445"/>
      <c r="CJ6" s="445"/>
      <c r="CK6" s="445"/>
      <c r="CL6" s="445"/>
      <c r="CM6" s="446"/>
      <c r="CN6" s="24"/>
      <c r="CO6" s="5"/>
      <c r="CP6" s="5"/>
      <c r="CQ6" s="5"/>
      <c r="CR6" s="5"/>
      <c r="CS6" s="5"/>
      <c r="CT6" s="5"/>
      <c r="CU6" s="5"/>
      <c r="CV6" s="5"/>
      <c r="CW6" s="5"/>
      <c r="CX6" s="5"/>
      <c r="CY6" s="5"/>
      <c r="CZ6" s="5"/>
      <c r="DA6" s="5"/>
      <c r="DB6" s="5"/>
      <c r="DC6" s="5"/>
      <c r="DD6" s="5"/>
      <c r="DE6" s="5"/>
      <c r="DF6" s="5"/>
      <c r="GO6" s="26"/>
      <c r="GP6" s="209"/>
      <c r="GQ6" s="209"/>
      <c r="GR6" s="209"/>
      <c r="GS6" s="24"/>
      <c r="GT6" s="210"/>
      <c r="GU6" s="210"/>
      <c r="GV6" s="210"/>
      <c r="GW6" s="210"/>
      <c r="GX6" s="210"/>
      <c r="GY6" s="210"/>
      <c r="GZ6" s="210"/>
      <c r="HA6" s="210"/>
      <c r="HB6" s="210"/>
      <c r="HC6" s="210"/>
      <c r="HD6" s="27"/>
      <c r="HE6" s="24"/>
      <c r="HF6" s="24"/>
      <c r="HG6" s="24"/>
      <c r="HH6" s="24"/>
      <c r="HI6" s="24"/>
      <c r="HJ6" s="24"/>
      <c r="HK6" s="24"/>
      <c r="HL6" s="24"/>
      <c r="HM6" s="24"/>
      <c r="HN6" s="24"/>
      <c r="HO6" s="26"/>
      <c r="HP6" s="26"/>
      <c r="HQ6" s="26"/>
      <c r="HR6" s="26"/>
      <c r="HS6" s="26"/>
      <c r="HT6" s="26"/>
      <c r="HU6" s="26"/>
      <c r="HV6" s="26"/>
      <c r="HW6" s="26"/>
      <c r="HX6" s="26"/>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row>
    <row r="7" spans="2:465" ht="24" customHeight="1" thickBot="1">
      <c r="B7" s="459"/>
      <c r="C7" s="460"/>
      <c r="D7" s="460"/>
      <c r="E7" s="460"/>
      <c r="F7" s="460"/>
      <c r="G7" s="460"/>
      <c r="H7" s="460"/>
      <c r="I7" s="460"/>
      <c r="J7" s="460"/>
      <c r="K7" s="460"/>
      <c r="L7" s="460"/>
      <c r="M7" s="460"/>
      <c r="N7" s="460"/>
      <c r="O7" s="460"/>
      <c r="P7" s="460"/>
      <c r="Q7" s="460"/>
      <c r="R7" s="476" t="s">
        <v>24</v>
      </c>
      <c r="S7" s="477"/>
      <c r="T7" s="477"/>
      <c r="U7" s="477"/>
      <c r="V7" s="477"/>
      <c r="W7" s="477"/>
      <c r="X7" s="477"/>
      <c r="Y7" s="477"/>
      <c r="Z7" s="477"/>
      <c r="AA7" s="477"/>
      <c r="AB7" s="478"/>
      <c r="AC7" s="473" t="s">
        <v>22</v>
      </c>
      <c r="AD7" s="474"/>
      <c r="AE7" s="474"/>
      <c r="AF7" s="474"/>
      <c r="AG7" s="474"/>
      <c r="AH7" s="474"/>
      <c r="AI7" s="474"/>
      <c r="AJ7" s="474"/>
      <c r="AK7" s="474"/>
      <c r="AL7" s="475"/>
      <c r="AM7" s="496"/>
      <c r="AN7" s="497"/>
      <c r="AO7" s="497"/>
      <c r="AP7" s="497"/>
      <c r="AQ7" s="497"/>
      <c r="AR7" s="497"/>
      <c r="AS7" s="497"/>
      <c r="AT7" s="497"/>
      <c r="AU7" s="497"/>
      <c r="AV7" s="497"/>
      <c r="AW7" s="497"/>
      <c r="AX7" s="497"/>
      <c r="AY7" s="497"/>
      <c r="AZ7" s="497"/>
      <c r="BA7" s="497"/>
      <c r="BB7" s="497"/>
      <c r="BC7" s="447">
        <v>1234567.8500000001</v>
      </c>
      <c r="BD7" s="447"/>
      <c r="BE7" s="447"/>
      <c r="BF7" s="447"/>
      <c r="BG7" s="447"/>
      <c r="BH7" s="447"/>
      <c r="BI7" s="447"/>
      <c r="BJ7" s="447"/>
      <c r="BK7" s="447"/>
      <c r="BL7" s="447">
        <v>1234568.8500000001</v>
      </c>
      <c r="BM7" s="447"/>
      <c r="BN7" s="447"/>
      <c r="BO7" s="447"/>
      <c r="BP7" s="447"/>
      <c r="BQ7" s="447"/>
      <c r="BR7" s="447"/>
      <c r="BS7" s="448"/>
      <c r="BT7" s="483" t="s">
        <v>29</v>
      </c>
      <c r="BU7" s="484"/>
      <c r="BV7" s="484"/>
      <c r="BW7" s="484"/>
      <c r="BX7" s="484"/>
      <c r="BY7" s="484"/>
      <c r="BZ7" s="484"/>
      <c r="CA7" s="484"/>
      <c r="CB7" s="484"/>
      <c r="CC7" s="484"/>
      <c r="CD7" s="451">
        <v>1205.8399999999999</v>
      </c>
      <c r="CE7" s="451"/>
      <c r="CF7" s="451"/>
      <c r="CG7" s="451"/>
      <c r="CH7" s="451"/>
      <c r="CI7" s="451"/>
      <c r="CJ7" s="451"/>
      <c r="CK7" s="451"/>
      <c r="CL7" s="451"/>
      <c r="CM7" s="452"/>
      <c r="CN7" s="25">
        <v>5</v>
      </c>
      <c r="CO7" s="5"/>
      <c r="CP7" s="5"/>
      <c r="CQ7" s="5"/>
      <c r="CR7" s="5"/>
      <c r="CS7" s="5"/>
      <c r="CT7" s="5"/>
      <c r="CU7" s="5"/>
      <c r="CV7" s="5"/>
      <c r="CW7" s="5"/>
      <c r="CX7" s="5"/>
      <c r="CY7" s="5"/>
      <c r="CZ7" s="5"/>
      <c r="DA7" s="5"/>
      <c r="DB7" s="5"/>
      <c r="DC7" s="5"/>
      <c r="DD7" s="5"/>
      <c r="DE7" s="5"/>
      <c r="DF7" s="5"/>
      <c r="GO7" s="267"/>
      <c r="GP7" s="24"/>
      <c r="GQ7" s="24"/>
      <c r="GR7" s="24"/>
      <c r="GS7" s="24"/>
      <c r="GT7" s="24"/>
      <c r="GU7" s="24"/>
      <c r="GV7" s="24"/>
      <c r="GW7" s="24"/>
      <c r="GX7" s="24"/>
      <c r="GY7" s="24"/>
      <c r="GZ7" s="24"/>
      <c r="HA7" s="24"/>
      <c r="HB7" s="24"/>
      <c r="HC7" s="24"/>
      <c r="HD7" s="265"/>
      <c r="HE7" s="265"/>
      <c r="HF7" s="265"/>
      <c r="HG7" s="265"/>
      <c r="HH7" s="265"/>
      <c r="HI7" s="265"/>
      <c r="HJ7" s="265"/>
      <c r="HK7" s="265"/>
      <c r="HL7" s="265"/>
      <c r="HM7" s="265"/>
      <c r="HN7" s="26"/>
      <c r="HO7" s="26"/>
      <c r="HP7" s="26"/>
      <c r="HQ7" s="26"/>
      <c r="HR7" s="26"/>
      <c r="HS7" s="26"/>
      <c r="HT7" s="26"/>
      <c r="HU7" s="26"/>
      <c r="HV7" s="26"/>
      <c r="HW7" s="26"/>
      <c r="HX7" s="26"/>
      <c r="IE7" s="26"/>
      <c r="IF7" s="26"/>
      <c r="IG7" s="26"/>
      <c r="IH7" s="26"/>
      <c r="II7" s="26"/>
      <c r="IJ7" s="26"/>
      <c r="IK7" s="26"/>
      <c r="IL7" s="26"/>
      <c r="IM7" s="26"/>
      <c r="IN7" s="26"/>
      <c r="IO7" s="26"/>
      <c r="IP7" s="26"/>
      <c r="IQ7" s="26"/>
      <c r="IR7" s="24"/>
      <c r="IS7" s="27"/>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row>
    <row r="8" spans="2:465" ht="24" customHeight="1" thickTop="1" thickBot="1">
      <c r="B8" s="459"/>
      <c r="C8" s="460"/>
      <c r="D8" s="460"/>
      <c r="E8" s="460"/>
      <c r="F8" s="460"/>
      <c r="G8" s="460"/>
      <c r="H8" s="460"/>
      <c r="I8" s="460"/>
      <c r="J8" s="460"/>
      <c r="K8" s="460"/>
      <c r="L8" s="460"/>
      <c r="M8" s="460"/>
      <c r="N8" s="460"/>
      <c r="O8" s="460"/>
      <c r="P8" s="460"/>
      <c r="Q8" s="460"/>
      <c r="R8" s="464" t="s">
        <v>158</v>
      </c>
      <c r="S8" s="465"/>
      <c r="T8" s="465"/>
      <c r="U8" s="465"/>
      <c r="V8" s="465"/>
      <c r="W8" s="465"/>
      <c r="X8" s="465"/>
      <c r="Y8" s="465"/>
      <c r="Z8" s="465"/>
      <c r="AA8" s="465"/>
      <c r="AB8" s="466"/>
      <c r="AC8" s="479">
        <v>1</v>
      </c>
      <c r="AD8" s="480"/>
      <c r="AE8" s="480"/>
      <c r="AF8" s="480"/>
      <c r="AG8" s="480"/>
      <c r="AH8" s="480"/>
      <c r="AI8" s="480"/>
      <c r="AJ8" s="480"/>
      <c r="AK8" s="480"/>
      <c r="AL8" s="481"/>
      <c r="AM8" s="490" t="s">
        <v>232</v>
      </c>
      <c r="AN8" s="491"/>
      <c r="AO8" s="491"/>
      <c r="AP8" s="491"/>
      <c r="AQ8" s="491"/>
      <c r="AR8" s="491"/>
      <c r="AS8" s="491"/>
      <c r="AT8" s="491"/>
      <c r="AU8" s="491"/>
      <c r="AV8" s="491"/>
      <c r="AW8" s="491"/>
      <c r="AX8" s="491"/>
      <c r="AY8" s="491"/>
      <c r="AZ8" s="491"/>
      <c r="BA8" s="491"/>
      <c r="BB8" s="491"/>
      <c r="BC8" s="523">
        <v>2</v>
      </c>
      <c r="BD8" s="523"/>
      <c r="BE8" s="523"/>
      <c r="BF8" s="523"/>
      <c r="BG8" s="523"/>
      <c r="BH8" s="523"/>
      <c r="BI8" s="523"/>
      <c r="BJ8" s="523"/>
      <c r="BK8" s="523"/>
      <c r="BL8" s="523"/>
      <c r="BM8" s="523"/>
      <c r="BN8" s="523"/>
      <c r="BO8" s="523"/>
      <c r="BP8" s="523"/>
      <c r="BQ8" s="523"/>
      <c r="BR8" s="523"/>
      <c r="BS8" s="524"/>
      <c r="BT8" s="490" t="s">
        <v>156</v>
      </c>
      <c r="BU8" s="491"/>
      <c r="BV8" s="491"/>
      <c r="BW8" s="491"/>
      <c r="BX8" s="491"/>
      <c r="BY8" s="491"/>
      <c r="BZ8" s="491"/>
      <c r="CA8" s="491"/>
      <c r="CB8" s="491"/>
      <c r="CC8" s="491"/>
      <c r="CD8" s="525" t="s">
        <v>20</v>
      </c>
      <c r="CE8" s="525"/>
      <c r="CF8" s="525"/>
      <c r="CG8" s="525"/>
      <c r="CH8" s="525"/>
      <c r="CI8" s="525"/>
      <c r="CJ8" s="525"/>
      <c r="CK8" s="525"/>
      <c r="CL8" s="525"/>
      <c r="CM8" s="526"/>
      <c r="CN8" s="24"/>
      <c r="CO8" s="5"/>
      <c r="CP8" s="5"/>
      <c r="CQ8" s="5"/>
      <c r="CR8" s="5"/>
      <c r="CS8" s="5"/>
      <c r="CT8" s="5"/>
      <c r="CU8" s="5"/>
      <c r="CV8" s="5"/>
      <c r="CW8" s="5"/>
      <c r="CX8" s="5"/>
      <c r="CY8" s="5"/>
      <c r="CZ8" s="5"/>
      <c r="DA8" s="5"/>
      <c r="DB8" s="5"/>
      <c r="DC8" s="5"/>
      <c r="DD8" s="5"/>
      <c r="DE8" s="5"/>
      <c r="DF8" s="5"/>
      <c r="GO8" s="267"/>
      <c r="GP8" s="24"/>
      <c r="GQ8" s="24"/>
      <c r="GR8" s="24"/>
      <c r="GS8" s="24"/>
      <c r="GT8" s="24"/>
      <c r="GU8" s="24"/>
      <c r="GV8" s="24"/>
      <c r="GW8" s="24"/>
      <c r="GX8" s="24"/>
      <c r="GY8" s="24"/>
      <c r="GZ8" s="24"/>
      <c r="HA8" s="24"/>
      <c r="HB8" s="24"/>
      <c r="HC8" s="24"/>
      <c r="HD8" s="265"/>
      <c r="HE8" s="265"/>
      <c r="HF8" s="265"/>
      <c r="HG8" s="265"/>
      <c r="HH8" s="265"/>
      <c r="HI8" s="265"/>
      <c r="HJ8" s="265"/>
      <c r="HK8" s="265"/>
      <c r="HL8" s="265"/>
      <c r="HM8" s="265"/>
      <c r="HN8" s="24"/>
      <c r="HO8" s="26"/>
      <c r="HP8" s="26"/>
      <c r="HQ8" s="26"/>
      <c r="HR8" s="26"/>
      <c r="HS8" s="26"/>
      <c r="HT8" s="26"/>
      <c r="HU8" s="26"/>
      <c r="HV8" s="26"/>
      <c r="HW8" s="26"/>
      <c r="HX8" s="26"/>
      <c r="IE8" s="26"/>
      <c r="IF8" s="26"/>
      <c r="IG8" s="26"/>
      <c r="IH8" s="26"/>
      <c r="II8" s="26"/>
      <c r="IJ8" s="26"/>
      <c r="IK8" s="26"/>
      <c r="IL8" s="26"/>
      <c r="IM8" s="26"/>
      <c r="IN8" s="26"/>
      <c r="IO8" s="26"/>
      <c r="IP8" s="26"/>
      <c r="IQ8" s="26"/>
      <c r="IR8" s="24"/>
      <c r="IS8" s="24"/>
      <c r="IT8" s="24"/>
      <c r="IU8" s="24"/>
      <c r="IV8" s="24"/>
      <c r="IW8" s="24"/>
      <c r="IX8" s="24"/>
      <c r="IY8" s="24"/>
      <c r="IZ8" s="24"/>
      <c r="JA8" s="24"/>
      <c r="JB8" s="24"/>
      <c r="JC8" s="24"/>
      <c r="JD8" s="24"/>
      <c r="JE8" s="24"/>
      <c r="JF8" s="24"/>
      <c r="JG8" s="24"/>
      <c r="JH8" s="24"/>
      <c r="JI8" s="24"/>
      <c r="JJ8" s="24"/>
      <c r="JK8" s="265"/>
      <c r="JL8" s="265"/>
      <c r="JM8" s="265"/>
      <c r="JN8" s="265"/>
      <c r="JO8" s="265"/>
      <c r="JP8" s="265"/>
      <c r="JQ8" s="265"/>
      <c r="JR8" s="265"/>
      <c r="JS8" s="265"/>
      <c r="JT8" s="265"/>
      <c r="JU8" s="265"/>
      <c r="JV8" s="24"/>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row>
    <row r="9" spans="2:465" ht="24" customHeight="1" thickTop="1" thickBot="1">
      <c r="B9" s="459"/>
      <c r="C9" s="460"/>
      <c r="D9" s="460"/>
      <c r="E9" s="460"/>
      <c r="F9" s="460"/>
      <c r="G9" s="460"/>
      <c r="H9" s="460"/>
      <c r="I9" s="460"/>
      <c r="J9" s="460"/>
      <c r="K9" s="460"/>
      <c r="L9" s="460"/>
      <c r="M9" s="460"/>
      <c r="N9" s="460"/>
      <c r="O9" s="460"/>
      <c r="P9" s="460"/>
      <c r="Q9" s="460"/>
      <c r="R9" s="464" t="s">
        <v>157</v>
      </c>
      <c r="S9" s="465"/>
      <c r="T9" s="465"/>
      <c r="U9" s="465"/>
      <c r="V9" s="465"/>
      <c r="W9" s="465"/>
      <c r="X9" s="465"/>
      <c r="Y9" s="465"/>
      <c r="Z9" s="465"/>
      <c r="AA9" s="465"/>
      <c r="AB9" s="465"/>
      <c r="AC9" s="465"/>
      <c r="AD9" s="465"/>
      <c r="AE9" s="465"/>
      <c r="AF9" s="465"/>
      <c r="AG9" s="465"/>
      <c r="AH9" s="465"/>
      <c r="AI9" s="465"/>
      <c r="AJ9" s="465"/>
      <c r="AK9" s="465"/>
      <c r="AL9" s="501"/>
      <c r="AM9" s="498" t="s">
        <v>295</v>
      </c>
      <c r="AN9" s="499"/>
      <c r="AO9" s="499"/>
      <c r="AP9" s="499"/>
      <c r="AQ9" s="499"/>
      <c r="AR9" s="499"/>
      <c r="AS9" s="499"/>
      <c r="AT9" s="500"/>
      <c r="AU9" s="482">
        <v>6.5</v>
      </c>
      <c r="AV9" s="482"/>
      <c r="AW9" s="482"/>
      <c r="AX9" s="482"/>
      <c r="AY9" s="482"/>
      <c r="AZ9" s="482"/>
      <c r="BA9" s="482"/>
      <c r="BB9" s="482"/>
      <c r="BC9" s="520" t="s">
        <v>146</v>
      </c>
      <c r="BD9" s="521"/>
      <c r="BE9" s="521"/>
      <c r="BF9" s="521"/>
      <c r="BG9" s="521"/>
      <c r="BH9" s="521"/>
      <c r="BI9" s="521"/>
      <c r="BJ9" s="521"/>
      <c r="BK9" s="522"/>
      <c r="BL9" s="518" t="s">
        <v>151</v>
      </c>
      <c r="BM9" s="519"/>
      <c r="BN9" s="519"/>
      <c r="BO9" s="519"/>
      <c r="BP9" s="519"/>
      <c r="BQ9" s="519"/>
      <c r="BR9" s="519"/>
      <c r="BS9" s="519"/>
      <c r="BT9" s="492" t="s">
        <v>297</v>
      </c>
      <c r="BU9" s="493"/>
      <c r="BV9" s="493"/>
      <c r="BW9" s="493"/>
      <c r="BX9" s="493"/>
      <c r="BY9" s="493"/>
      <c r="BZ9" s="493"/>
      <c r="CA9" s="493"/>
      <c r="CB9" s="493"/>
      <c r="CC9" s="493"/>
      <c r="CD9" s="527">
        <v>0.7</v>
      </c>
      <c r="CE9" s="527"/>
      <c r="CF9" s="527"/>
      <c r="CG9" s="527"/>
      <c r="CH9" s="527"/>
      <c r="CI9" s="527"/>
      <c r="CJ9" s="527"/>
      <c r="CK9" s="527"/>
      <c r="CL9" s="527"/>
      <c r="CM9" s="528"/>
      <c r="CN9" s="24"/>
      <c r="CO9" s="5"/>
      <c r="CP9" s="5"/>
      <c r="CQ9" s="5"/>
      <c r="CR9" s="5"/>
      <c r="CS9" s="5"/>
      <c r="CT9" s="5"/>
      <c r="CU9" s="5"/>
      <c r="CV9" s="5"/>
      <c r="CW9" s="5"/>
      <c r="CX9" s="5"/>
      <c r="CY9" s="5"/>
      <c r="CZ9" s="5"/>
      <c r="DA9" s="5"/>
      <c r="DB9" s="5"/>
      <c r="DC9" s="5"/>
      <c r="DD9" s="5"/>
      <c r="DE9" s="5"/>
      <c r="DF9" s="5"/>
      <c r="GO9" s="26"/>
      <c r="GP9" s="265"/>
      <c r="GQ9" s="265"/>
      <c r="GR9" s="265"/>
      <c r="GS9" s="265"/>
      <c r="GT9" s="24"/>
      <c r="GU9" s="266"/>
      <c r="GV9" s="266"/>
      <c r="GW9" s="266"/>
      <c r="GX9" s="266"/>
      <c r="GY9" s="266"/>
      <c r="GZ9" s="266"/>
      <c r="HA9" s="266"/>
      <c r="HB9" s="266"/>
      <c r="HC9" s="24"/>
      <c r="HD9" s="28"/>
      <c r="HE9" s="26"/>
      <c r="HF9" s="26"/>
      <c r="HG9" s="24"/>
      <c r="HH9" s="24"/>
      <c r="HI9" s="24"/>
      <c r="HJ9" s="24"/>
      <c r="HK9" s="24"/>
      <c r="HL9" s="24"/>
      <c r="HM9" s="24"/>
      <c r="HN9" s="24"/>
      <c r="HO9" s="26"/>
      <c r="HP9" s="26"/>
      <c r="HQ9" s="26"/>
      <c r="HR9" s="26"/>
      <c r="HS9" s="26"/>
      <c r="HT9" s="26"/>
      <c r="HU9" s="26"/>
      <c r="HV9" s="26"/>
      <c r="HW9" s="26"/>
      <c r="HX9" s="26"/>
      <c r="IE9" s="26"/>
      <c r="IF9" s="26"/>
      <c r="IG9" s="26"/>
      <c r="IH9" s="26"/>
      <c r="II9" s="26"/>
      <c r="IJ9" s="26"/>
      <c r="IK9" s="26"/>
      <c r="IL9" s="26"/>
      <c r="IM9" s="26"/>
      <c r="IN9" s="26"/>
      <c r="IO9" s="26"/>
      <c r="IP9" s="26"/>
      <c r="IQ9" s="26"/>
      <c r="IR9" s="24"/>
      <c r="IS9" s="24"/>
      <c r="IT9" s="24"/>
      <c r="IU9" s="24"/>
      <c r="IV9" s="24"/>
      <c r="IW9" s="24"/>
      <c r="IX9" s="24"/>
      <c r="IY9" s="24"/>
      <c r="IZ9" s="24"/>
      <c r="JA9" s="24"/>
      <c r="JB9" s="24"/>
      <c r="JC9" s="24"/>
      <c r="JD9" s="24"/>
      <c r="JE9" s="24"/>
      <c r="JF9" s="24"/>
      <c r="JG9" s="24"/>
      <c r="JH9" s="24"/>
      <c r="JI9" s="24"/>
      <c r="JJ9" s="27"/>
      <c r="JK9" s="265"/>
      <c r="JL9" s="265"/>
      <c r="JM9" s="265"/>
      <c r="JN9" s="265"/>
      <c r="JO9" s="265"/>
      <c r="JP9" s="265"/>
      <c r="JQ9" s="265"/>
      <c r="JR9" s="265"/>
      <c r="JS9" s="265"/>
      <c r="JT9" s="265"/>
      <c r="JU9" s="265"/>
      <c r="JV9" s="24"/>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row>
    <row r="10" spans="2:465" ht="24" customHeight="1" thickTop="1">
      <c r="B10" s="453" t="s">
        <v>212</v>
      </c>
      <c r="C10" s="454"/>
      <c r="D10" s="454"/>
      <c r="E10" s="454"/>
      <c r="F10" s="454"/>
      <c r="G10" s="454"/>
      <c r="H10" s="454"/>
      <c r="I10" s="454"/>
      <c r="J10" s="454"/>
      <c r="K10" s="454"/>
      <c r="L10" s="454"/>
      <c r="M10" s="454"/>
      <c r="N10" s="454"/>
      <c r="O10" s="454"/>
      <c r="P10" s="454"/>
      <c r="Q10" s="454"/>
      <c r="R10" s="508" t="s">
        <v>103</v>
      </c>
      <c r="S10" s="509"/>
      <c r="T10" s="509"/>
      <c r="U10" s="509"/>
      <c r="V10" s="509"/>
      <c r="W10" s="509"/>
      <c r="X10" s="509"/>
      <c r="Y10" s="510"/>
      <c r="Z10" s="502" t="s">
        <v>104</v>
      </c>
      <c r="AA10" s="503"/>
      <c r="AB10" s="503"/>
      <c r="AC10" s="503"/>
      <c r="AD10" s="503"/>
      <c r="AE10" s="503"/>
      <c r="AF10" s="503"/>
      <c r="AG10" s="503"/>
      <c r="AH10" s="503"/>
      <c r="AI10" s="503"/>
      <c r="AJ10" s="503"/>
      <c r="AK10" s="503"/>
      <c r="AL10" s="504"/>
      <c r="AM10" s="485" t="s">
        <v>105</v>
      </c>
      <c r="AN10" s="486"/>
      <c r="AO10" s="486"/>
      <c r="AP10" s="486"/>
      <c r="AQ10" s="486"/>
      <c r="AR10" s="486"/>
      <c r="AS10" s="486"/>
      <c r="AT10" s="486"/>
      <c r="AU10" s="486"/>
      <c r="AV10" s="486"/>
      <c r="AW10" s="486"/>
      <c r="AX10" s="486"/>
      <c r="AY10" s="486"/>
      <c r="AZ10" s="486"/>
      <c r="BA10" s="486"/>
      <c r="BB10" s="486"/>
      <c r="BC10" s="486" t="s">
        <v>106</v>
      </c>
      <c r="BD10" s="486"/>
      <c r="BE10" s="486"/>
      <c r="BF10" s="486"/>
      <c r="BG10" s="486"/>
      <c r="BH10" s="486"/>
      <c r="BI10" s="486"/>
      <c r="BJ10" s="486"/>
      <c r="BK10" s="486"/>
      <c r="BL10" s="486"/>
      <c r="BM10" s="486"/>
      <c r="BN10" s="486"/>
      <c r="BO10" s="486"/>
      <c r="BP10" s="486"/>
      <c r="BQ10" s="486"/>
      <c r="BR10" s="486"/>
      <c r="BS10" s="502"/>
      <c r="BT10" s="485" t="s">
        <v>107</v>
      </c>
      <c r="BU10" s="486"/>
      <c r="BV10" s="486"/>
      <c r="BW10" s="486"/>
      <c r="BX10" s="486"/>
      <c r="BY10" s="486"/>
      <c r="BZ10" s="486"/>
      <c r="CA10" s="486"/>
      <c r="CB10" s="486"/>
      <c r="CC10" s="486"/>
      <c r="CD10" s="486"/>
      <c r="CE10" s="486"/>
      <c r="CF10" s="486"/>
      <c r="CG10" s="486"/>
      <c r="CH10" s="486"/>
      <c r="CI10" s="486"/>
      <c r="CJ10" s="486"/>
      <c r="CK10" s="486"/>
      <c r="CL10" s="486"/>
      <c r="CM10" s="517"/>
      <c r="CN10" s="24"/>
      <c r="CO10" s="5"/>
      <c r="CP10" s="5"/>
      <c r="CQ10" s="5"/>
      <c r="CR10" s="5"/>
      <c r="CS10" s="5"/>
      <c r="CT10" s="5"/>
      <c r="CU10" s="5"/>
      <c r="CV10" s="5"/>
      <c r="CW10" s="5"/>
      <c r="CX10" s="5"/>
      <c r="CY10" s="5"/>
      <c r="CZ10" s="5"/>
      <c r="DA10" s="5"/>
      <c r="DB10" s="5"/>
      <c r="DC10" s="5"/>
      <c r="DD10" s="5"/>
      <c r="DE10" s="5"/>
      <c r="DF10" s="5"/>
      <c r="EH10" s="24"/>
      <c r="EI10" s="24"/>
      <c r="EJ10" s="24"/>
      <c r="EK10" s="24"/>
      <c r="EL10" s="24"/>
      <c r="EM10" s="24"/>
      <c r="EN10" s="24"/>
      <c r="EO10" s="24"/>
      <c r="EP10" s="24"/>
      <c r="EQ10" s="24"/>
      <c r="ER10" s="24"/>
      <c r="ES10" s="24"/>
      <c r="ET10" s="24"/>
      <c r="EU10" s="24"/>
      <c r="EV10" s="24"/>
      <c r="EW10" s="24"/>
      <c r="EX10" s="24"/>
      <c r="EY10" s="24"/>
      <c r="EZ10" s="24"/>
      <c r="FA10" s="24"/>
      <c r="GO10" s="26"/>
      <c r="GP10" s="29"/>
      <c r="GQ10" s="27"/>
      <c r="GR10" s="27"/>
      <c r="GS10" s="27"/>
      <c r="GT10" s="24"/>
      <c r="GU10" s="24"/>
      <c r="GV10" s="26"/>
      <c r="GW10" s="26"/>
      <c r="GX10" s="26"/>
      <c r="GY10" s="26"/>
      <c r="GZ10" s="26"/>
      <c r="HA10" s="26"/>
      <c r="HB10" s="26"/>
      <c r="HC10" s="26"/>
      <c r="HD10" s="28"/>
      <c r="HE10" s="26"/>
      <c r="HF10" s="26"/>
      <c r="HG10" s="26"/>
      <c r="HH10" s="26"/>
      <c r="HI10" s="26"/>
      <c r="HJ10" s="26"/>
      <c r="HK10" s="26"/>
      <c r="HL10" s="26"/>
      <c r="HM10" s="26"/>
      <c r="HN10" s="26"/>
      <c r="HO10" s="26"/>
      <c r="HP10" s="26"/>
      <c r="HQ10" s="26"/>
      <c r="HR10" s="26"/>
      <c r="HS10" s="26"/>
      <c r="HT10" s="26"/>
      <c r="HU10" s="26"/>
      <c r="HV10" s="26"/>
      <c r="HW10" s="26"/>
      <c r="HX10" s="26"/>
      <c r="IE10" s="26"/>
      <c r="IF10" s="26"/>
      <c r="IG10" s="26"/>
      <c r="IH10" s="26"/>
      <c r="II10" s="26"/>
      <c r="IJ10" s="26"/>
      <c r="IK10" s="26"/>
      <c r="IL10" s="26"/>
      <c r="IM10" s="26"/>
      <c r="IN10" s="26"/>
      <c r="IO10" s="265"/>
      <c r="IP10" s="265"/>
      <c r="IQ10" s="265"/>
      <c r="IR10" s="265"/>
      <c r="IS10" s="265"/>
      <c r="IT10" s="265"/>
      <c r="IU10" s="265"/>
      <c r="IV10" s="265"/>
      <c r="IW10" s="265"/>
      <c r="IX10" s="265"/>
      <c r="IY10" s="30"/>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row>
    <row r="11" spans="2:465" ht="24" customHeight="1" thickBot="1">
      <c r="B11" s="455"/>
      <c r="C11" s="456"/>
      <c r="D11" s="456"/>
      <c r="E11" s="456"/>
      <c r="F11" s="456"/>
      <c r="G11" s="456"/>
      <c r="H11" s="456"/>
      <c r="I11" s="456"/>
      <c r="J11" s="456"/>
      <c r="K11" s="456"/>
      <c r="L11" s="456"/>
      <c r="M11" s="456"/>
      <c r="N11" s="456"/>
      <c r="O11" s="456"/>
      <c r="P11" s="456"/>
      <c r="Q11" s="456"/>
      <c r="R11" s="511"/>
      <c r="S11" s="512"/>
      <c r="T11" s="512"/>
      <c r="U11" s="512"/>
      <c r="V11" s="512"/>
      <c r="W11" s="512"/>
      <c r="X11" s="512"/>
      <c r="Y11" s="513"/>
      <c r="Z11" s="505" t="s">
        <v>229</v>
      </c>
      <c r="AA11" s="506"/>
      <c r="AB11" s="506"/>
      <c r="AC11" s="506"/>
      <c r="AD11" s="506"/>
      <c r="AE11" s="506"/>
      <c r="AF11" s="506"/>
      <c r="AG11" s="506"/>
      <c r="AH11" s="506"/>
      <c r="AI11" s="506"/>
      <c r="AJ11" s="506"/>
      <c r="AK11" s="506"/>
      <c r="AL11" s="507"/>
      <c r="AM11" s="487" t="s">
        <v>11</v>
      </c>
      <c r="AN11" s="488"/>
      <c r="AO11" s="488"/>
      <c r="AP11" s="488"/>
      <c r="AQ11" s="488"/>
      <c r="AR11" s="488"/>
      <c r="AS11" s="488"/>
      <c r="AT11" s="488"/>
      <c r="AU11" s="488"/>
      <c r="AV11" s="488"/>
      <c r="AW11" s="488"/>
      <c r="AX11" s="488"/>
      <c r="AY11" s="488"/>
      <c r="AZ11" s="488"/>
      <c r="BA11" s="488"/>
      <c r="BB11" s="489"/>
      <c r="BC11" s="505" t="s">
        <v>14</v>
      </c>
      <c r="BD11" s="506"/>
      <c r="BE11" s="506"/>
      <c r="BF11" s="506"/>
      <c r="BG11" s="506"/>
      <c r="BH11" s="506"/>
      <c r="BI11" s="506"/>
      <c r="BJ11" s="506"/>
      <c r="BK11" s="506"/>
      <c r="BL11" s="506"/>
      <c r="BM11" s="506"/>
      <c r="BN11" s="506"/>
      <c r="BO11" s="506"/>
      <c r="BP11" s="506"/>
      <c r="BQ11" s="506"/>
      <c r="BR11" s="506"/>
      <c r="BS11" s="506"/>
      <c r="BT11" s="514">
        <v>60</v>
      </c>
      <c r="BU11" s="515"/>
      <c r="BV11" s="515"/>
      <c r="BW11" s="515"/>
      <c r="BX11" s="515"/>
      <c r="BY11" s="515"/>
      <c r="BZ11" s="515"/>
      <c r="CA11" s="515"/>
      <c r="CB11" s="515"/>
      <c r="CC11" s="515"/>
      <c r="CD11" s="515"/>
      <c r="CE11" s="515"/>
      <c r="CF11" s="515"/>
      <c r="CG11" s="515"/>
      <c r="CH11" s="515"/>
      <c r="CI11" s="515"/>
      <c r="CJ11" s="515"/>
      <c r="CK11" s="515"/>
      <c r="CL11" s="515"/>
      <c r="CM11" s="516"/>
      <c r="CN11" s="24"/>
      <c r="CO11" s="24"/>
      <c r="CP11" s="24"/>
      <c r="CQ11" s="24"/>
      <c r="CR11" s="24"/>
      <c r="CS11" s="24"/>
      <c r="CT11" s="24"/>
      <c r="CU11" s="24"/>
      <c r="CV11" s="24"/>
      <c r="CW11" s="24"/>
      <c r="CX11" s="24"/>
      <c r="CY11" s="24"/>
      <c r="CZ11" s="24"/>
      <c r="DA11" s="24"/>
      <c r="DB11" s="24"/>
      <c r="DC11" s="24"/>
      <c r="DD11" s="24"/>
      <c r="DE11" s="24"/>
      <c r="DF11" s="24"/>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4"/>
      <c r="EG11" s="210"/>
      <c r="EH11" s="210"/>
      <c r="EI11" s="210"/>
      <c r="EJ11" s="210"/>
      <c r="EK11" s="24"/>
      <c r="EL11" s="24"/>
      <c r="EM11" s="24"/>
      <c r="EN11" s="24"/>
      <c r="EO11" s="24"/>
      <c r="EP11" s="24"/>
      <c r="EQ11" s="24"/>
      <c r="ER11" s="24"/>
      <c r="ES11" s="24"/>
      <c r="ET11" s="24"/>
      <c r="EU11" s="24"/>
      <c r="EV11" s="24"/>
      <c r="EW11" s="24"/>
      <c r="EX11" s="24"/>
      <c r="EY11" s="24"/>
      <c r="EZ11" s="24"/>
      <c r="FA11" s="24"/>
      <c r="GO11" s="26"/>
      <c r="GP11" s="31"/>
      <c r="GQ11" s="26"/>
      <c r="GR11" s="26"/>
      <c r="GS11" s="26"/>
      <c r="GT11" s="24"/>
      <c r="GU11" s="24"/>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IE11" s="26"/>
      <c r="IF11" s="26"/>
      <c r="IG11" s="26"/>
      <c r="IH11" s="26"/>
      <c r="II11" s="26"/>
      <c r="IJ11" s="26"/>
      <c r="IK11" s="26"/>
      <c r="IL11" s="26"/>
      <c r="IM11" s="26"/>
      <c r="IN11" s="26"/>
      <c r="IO11" s="265"/>
      <c r="IP11" s="265"/>
      <c r="IQ11" s="265"/>
      <c r="IR11" s="265"/>
      <c r="IS11" s="265"/>
      <c r="IT11" s="265"/>
      <c r="IU11" s="265"/>
      <c r="IV11" s="265"/>
      <c r="IW11" s="265"/>
      <c r="IX11" s="265"/>
      <c r="IY11" s="30"/>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row>
    <row r="12" spans="2:465" ht="30" customHeight="1" thickTop="1" thickBot="1">
      <c r="B12" s="368" t="s">
        <v>276</v>
      </c>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93" t="s">
        <v>277</v>
      </c>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260" t="s">
        <v>288</v>
      </c>
      <c r="BU12" s="260"/>
      <c r="BV12" s="260"/>
      <c r="BW12" s="260"/>
      <c r="BX12" s="260"/>
      <c r="BY12" s="260"/>
      <c r="BZ12" s="260"/>
      <c r="CA12" s="260"/>
      <c r="CB12" s="260"/>
      <c r="CC12" s="260"/>
      <c r="CD12" s="260"/>
      <c r="CE12" s="260"/>
      <c r="CF12" s="260" t="s">
        <v>222</v>
      </c>
      <c r="CG12" s="260"/>
      <c r="CH12" s="260"/>
      <c r="CI12" s="260"/>
      <c r="CJ12" s="260"/>
      <c r="CK12" s="260"/>
      <c r="CL12" s="260"/>
      <c r="CM12" s="260"/>
      <c r="CN12" s="211" t="s">
        <v>304</v>
      </c>
      <c r="CO12" s="211"/>
      <c r="CP12" s="211"/>
      <c r="CQ12" s="211"/>
      <c r="CR12" s="211"/>
      <c r="CS12" s="211"/>
      <c r="CT12" s="211"/>
      <c r="CU12" s="211"/>
      <c r="CV12" s="211"/>
      <c r="CW12" s="211"/>
      <c r="CX12" s="211"/>
      <c r="CY12" s="211"/>
      <c r="CZ12" s="211"/>
      <c r="DA12" s="211"/>
      <c r="DB12" s="211"/>
      <c r="DC12" s="164" t="s">
        <v>275</v>
      </c>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6"/>
      <c r="EK12" s="32"/>
      <c r="EL12" s="32"/>
      <c r="EM12" s="32"/>
      <c r="EN12" s="32"/>
      <c r="EO12" s="32"/>
      <c r="EP12" s="32"/>
      <c r="EQ12" s="32"/>
      <c r="ER12" s="32"/>
      <c r="ES12" s="32"/>
      <c r="ET12" s="32"/>
      <c r="EU12" s="32"/>
      <c r="EV12" s="32"/>
      <c r="EW12" s="32"/>
      <c r="EX12" s="32"/>
      <c r="EY12" s="24"/>
      <c r="EZ12" s="24"/>
      <c r="FA12" s="24"/>
      <c r="GK12" s="24"/>
      <c r="GL12" s="24"/>
      <c r="GM12" s="24"/>
      <c r="HX12" s="26"/>
      <c r="HY12" s="24"/>
      <c r="HZ12" s="24"/>
      <c r="IA12" s="24"/>
      <c r="IB12" s="24"/>
      <c r="IC12" s="24"/>
      <c r="ID12" s="24"/>
      <c r="IE12" s="24"/>
      <c r="IF12" s="24"/>
      <c r="IG12" s="24"/>
      <c r="IH12" s="24"/>
      <c r="II12" s="24"/>
      <c r="IJ12" s="24"/>
      <c r="IK12" s="24"/>
      <c r="IL12" s="24"/>
      <c r="IM12" s="24"/>
      <c r="IN12" s="24"/>
      <c r="IO12" s="24"/>
      <c r="IP12" s="27"/>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row>
    <row r="13" spans="2:465" ht="41.45" customHeight="1" thickTop="1" thickBot="1">
      <c r="B13" s="370"/>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94"/>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c r="BR13" s="394"/>
      <c r="BS13" s="394"/>
      <c r="BT13" s="261"/>
      <c r="BU13" s="261"/>
      <c r="BV13" s="261"/>
      <c r="BW13" s="261"/>
      <c r="BX13" s="261"/>
      <c r="BY13" s="261"/>
      <c r="BZ13" s="261"/>
      <c r="CA13" s="261"/>
      <c r="CB13" s="261"/>
      <c r="CC13" s="261"/>
      <c r="CD13" s="261"/>
      <c r="CE13" s="261"/>
      <c r="CF13" s="261"/>
      <c r="CG13" s="261"/>
      <c r="CH13" s="261"/>
      <c r="CI13" s="261"/>
      <c r="CJ13" s="261"/>
      <c r="CK13" s="261"/>
      <c r="CL13" s="261"/>
      <c r="CM13" s="261"/>
      <c r="CN13" s="212"/>
      <c r="CO13" s="212"/>
      <c r="CP13" s="212"/>
      <c r="CQ13" s="212"/>
      <c r="CR13" s="212"/>
      <c r="CS13" s="212"/>
      <c r="CT13" s="212"/>
      <c r="CU13" s="212"/>
      <c r="CV13" s="212"/>
      <c r="CW13" s="212"/>
      <c r="CX13" s="212"/>
      <c r="CY13" s="212"/>
      <c r="CZ13" s="212"/>
      <c r="DA13" s="212"/>
      <c r="DB13" s="212"/>
      <c r="DC13" s="167" t="s">
        <v>328</v>
      </c>
      <c r="DD13" s="168"/>
      <c r="DE13" s="168"/>
      <c r="DF13" s="168"/>
      <c r="DG13" s="168"/>
      <c r="DH13" s="168"/>
      <c r="DI13" s="168"/>
      <c r="DJ13" s="168"/>
      <c r="DK13" s="168"/>
      <c r="DL13" s="168"/>
      <c r="DM13" s="168"/>
      <c r="DN13" s="168"/>
      <c r="DO13" s="168"/>
      <c r="DP13" s="168"/>
      <c r="DQ13" s="168"/>
      <c r="DR13" s="168"/>
      <c r="DS13" s="169"/>
      <c r="DT13" s="268" t="s">
        <v>278</v>
      </c>
      <c r="DU13" s="269"/>
      <c r="DV13" s="269"/>
      <c r="DW13" s="269"/>
      <c r="DX13" s="269"/>
      <c r="DY13" s="269"/>
      <c r="DZ13" s="269"/>
      <c r="EA13" s="269"/>
      <c r="EB13" s="269"/>
      <c r="EC13" s="269"/>
      <c r="ED13" s="269"/>
      <c r="EE13" s="269"/>
      <c r="EF13" s="269"/>
      <c r="EG13" s="269"/>
      <c r="EH13" s="269"/>
      <c r="EI13" s="269"/>
      <c r="EJ13" s="270"/>
      <c r="EV13" s="32"/>
      <c r="EW13" s="32"/>
      <c r="EX13" s="32"/>
      <c r="EY13" s="24"/>
      <c r="EZ13" s="24"/>
      <c r="FA13" s="24"/>
    </row>
    <row r="14" spans="2:465" ht="60" customHeight="1" thickTop="1" thickBot="1">
      <c r="B14" s="425" t="s">
        <v>155</v>
      </c>
      <c r="C14" s="421"/>
      <c r="D14" s="422"/>
      <c r="E14" s="405" t="s">
        <v>0</v>
      </c>
      <c r="F14" s="405"/>
      <c r="G14" s="405"/>
      <c r="H14" s="405"/>
      <c r="I14" s="421" t="s">
        <v>233</v>
      </c>
      <c r="J14" s="421"/>
      <c r="K14" s="422"/>
      <c r="L14" s="397" t="s">
        <v>33</v>
      </c>
      <c r="M14" s="398"/>
      <c r="N14" s="398"/>
      <c r="O14" s="398"/>
      <c r="P14" s="399"/>
      <c r="Q14" s="375" t="s">
        <v>234</v>
      </c>
      <c r="R14" s="376"/>
      <c r="S14" s="376"/>
      <c r="T14" s="376"/>
      <c r="U14" s="377"/>
      <c r="V14" s="405" t="s">
        <v>235</v>
      </c>
      <c r="W14" s="405"/>
      <c r="X14" s="405"/>
      <c r="Y14" s="405"/>
      <c r="Z14" s="405" t="s">
        <v>41</v>
      </c>
      <c r="AA14" s="405"/>
      <c r="AB14" s="405"/>
      <c r="AC14" s="410" t="s">
        <v>287</v>
      </c>
      <c r="AD14" s="405"/>
      <c r="AE14" s="405"/>
      <c r="AF14" s="410" t="s">
        <v>286</v>
      </c>
      <c r="AG14" s="405"/>
      <c r="AH14" s="405"/>
      <c r="AI14" s="411" t="s">
        <v>19</v>
      </c>
      <c r="AJ14" s="411"/>
      <c r="AK14" s="411"/>
      <c r="AL14" s="412"/>
      <c r="AM14" s="415" t="s">
        <v>306</v>
      </c>
      <c r="AN14" s="416"/>
      <c r="AO14" s="416"/>
      <c r="AP14" s="416"/>
      <c r="AQ14" s="416" t="s">
        <v>307</v>
      </c>
      <c r="AR14" s="416"/>
      <c r="AS14" s="416"/>
      <c r="AT14" s="416"/>
      <c r="AU14" s="277" t="s">
        <v>214</v>
      </c>
      <c r="AV14" s="277"/>
      <c r="AW14" s="277"/>
      <c r="AX14" s="277" t="s">
        <v>215</v>
      </c>
      <c r="AY14" s="277"/>
      <c r="AZ14" s="277"/>
      <c r="BA14" s="277" t="s">
        <v>216</v>
      </c>
      <c r="BB14" s="277"/>
      <c r="BC14" s="277"/>
      <c r="BD14" s="277" t="s">
        <v>217</v>
      </c>
      <c r="BE14" s="277"/>
      <c r="BF14" s="277"/>
      <c r="BG14" s="277" t="s">
        <v>218</v>
      </c>
      <c r="BH14" s="277"/>
      <c r="BI14" s="277"/>
      <c r="BJ14" s="289" t="s">
        <v>289</v>
      </c>
      <c r="BK14" s="289"/>
      <c r="BL14" s="289"/>
      <c r="BM14" s="289"/>
      <c r="BN14" s="289" t="s">
        <v>305</v>
      </c>
      <c r="BO14" s="289"/>
      <c r="BP14" s="289"/>
      <c r="BQ14" s="289"/>
      <c r="BR14" s="289"/>
      <c r="BS14" s="403"/>
      <c r="BT14" s="246" t="s">
        <v>236</v>
      </c>
      <c r="BU14" s="247"/>
      <c r="BV14" s="247"/>
      <c r="BW14" s="247"/>
      <c r="BX14" s="247"/>
      <c r="BY14" s="244" t="s">
        <v>237</v>
      </c>
      <c r="BZ14" s="238"/>
      <c r="CA14" s="238"/>
      <c r="CB14" s="298" t="s">
        <v>231</v>
      </c>
      <c r="CC14" s="298"/>
      <c r="CD14" s="298"/>
      <c r="CE14" s="299"/>
      <c r="CF14" s="237" t="s">
        <v>219</v>
      </c>
      <c r="CG14" s="238"/>
      <c r="CH14" s="238"/>
      <c r="CI14" s="238"/>
      <c r="CJ14" s="291" t="s">
        <v>211</v>
      </c>
      <c r="CK14" s="291"/>
      <c r="CL14" s="291"/>
      <c r="CM14" s="292"/>
      <c r="CN14" s="215" t="s">
        <v>285</v>
      </c>
      <c r="CO14" s="216"/>
      <c r="CP14" s="216"/>
      <c r="CQ14" s="216"/>
      <c r="CR14" s="216"/>
      <c r="CS14" s="216"/>
      <c r="CT14" s="216"/>
      <c r="CU14" s="216"/>
      <c r="CV14" s="216"/>
      <c r="CW14" s="216"/>
      <c r="CX14" s="216"/>
      <c r="CY14" s="216"/>
      <c r="CZ14" s="216"/>
      <c r="DA14" s="216"/>
      <c r="DB14" s="217"/>
      <c r="DC14" s="258" t="s">
        <v>322</v>
      </c>
      <c r="DD14" s="259"/>
      <c r="DE14" s="259"/>
      <c r="DF14" s="259"/>
      <c r="DG14" s="223" t="s">
        <v>112</v>
      </c>
      <c r="DH14" s="224"/>
      <c r="DI14" s="224"/>
      <c r="DJ14" s="225"/>
      <c r="DK14" s="250" t="s">
        <v>111</v>
      </c>
      <c r="DL14" s="224"/>
      <c r="DM14" s="224"/>
      <c r="DN14" s="225"/>
      <c r="DO14" s="279" t="s">
        <v>330</v>
      </c>
      <c r="DP14" s="280"/>
      <c r="DQ14" s="280"/>
      <c r="DR14" s="280"/>
      <c r="DS14" s="281"/>
      <c r="DT14" s="258" t="s">
        <v>322</v>
      </c>
      <c r="DU14" s="259"/>
      <c r="DV14" s="259"/>
      <c r="DW14" s="259"/>
      <c r="DX14" s="231" t="s">
        <v>112</v>
      </c>
      <c r="DY14" s="227"/>
      <c r="DZ14" s="227"/>
      <c r="EA14" s="228"/>
      <c r="EB14" s="231" t="s">
        <v>213</v>
      </c>
      <c r="EC14" s="227"/>
      <c r="ED14" s="227"/>
      <c r="EE14" s="228"/>
      <c r="EF14" s="271" t="s">
        <v>331</v>
      </c>
      <c r="EG14" s="272"/>
      <c r="EH14" s="272"/>
      <c r="EI14" s="272"/>
      <c r="EJ14" s="273"/>
      <c r="EV14" s="58"/>
      <c r="EW14" s="58"/>
      <c r="EX14" s="58"/>
      <c r="EY14" s="24"/>
    </row>
    <row r="15" spans="2:465" ht="60" customHeight="1">
      <c r="B15" s="426"/>
      <c r="C15" s="423"/>
      <c r="D15" s="424"/>
      <c r="E15" s="406"/>
      <c r="F15" s="406"/>
      <c r="G15" s="406"/>
      <c r="H15" s="406"/>
      <c r="I15" s="423"/>
      <c r="J15" s="423"/>
      <c r="K15" s="424"/>
      <c r="L15" s="400"/>
      <c r="M15" s="401"/>
      <c r="N15" s="401"/>
      <c r="O15" s="401"/>
      <c r="P15" s="402"/>
      <c r="Q15" s="378"/>
      <c r="R15" s="379"/>
      <c r="S15" s="379"/>
      <c r="T15" s="379"/>
      <c r="U15" s="380"/>
      <c r="V15" s="406"/>
      <c r="W15" s="406"/>
      <c r="X15" s="406"/>
      <c r="Y15" s="406"/>
      <c r="Z15" s="406"/>
      <c r="AA15" s="406"/>
      <c r="AB15" s="406"/>
      <c r="AC15" s="406"/>
      <c r="AD15" s="406"/>
      <c r="AE15" s="406"/>
      <c r="AF15" s="406"/>
      <c r="AG15" s="406"/>
      <c r="AH15" s="406"/>
      <c r="AI15" s="413"/>
      <c r="AJ15" s="413"/>
      <c r="AK15" s="413"/>
      <c r="AL15" s="414"/>
      <c r="AM15" s="417"/>
      <c r="AN15" s="418"/>
      <c r="AO15" s="418"/>
      <c r="AP15" s="418"/>
      <c r="AQ15" s="418"/>
      <c r="AR15" s="418"/>
      <c r="AS15" s="418"/>
      <c r="AT15" s="418"/>
      <c r="AU15" s="278"/>
      <c r="AV15" s="278"/>
      <c r="AW15" s="278"/>
      <c r="AX15" s="278"/>
      <c r="AY15" s="278"/>
      <c r="AZ15" s="278"/>
      <c r="BA15" s="278"/>
      <c r="BB15" s="278"/>
      <c r="BC15" s="278"/>
      <c r="BD15" s="278"/>
      <c r="BE15" s="278"/>
      <c r="BF15" s="278"/>
      <c r="BG15" s="278"/>
      <c r="BH15" s="278"/>
      <c r="BI15" s="278"/>
      <c r="BJ15" s="290"/>
      <c r="BK15" s="290"/>
      <c r="BL15" s="290"/>
      <c r="BM15" s="290"/>
      <c r="BN15" s="290"/>
      <c r="BO15" s="290"/>
      <c r="BP15" s="290"/>
      <c r="BQ15" s="290"/>
      <c r="BR15" s="290"/>
      <c r="BS15" s="404"/>
      <c r="BT15" s="248"/>
      <c r="BU15" s="249"/>
      <c r="BV15" s="249"/>
      <c r="BW15" s="249"/>
      <c r="BX15" s="249"/>
      <c r="BY15" s="245"/>
      <c r="BZ15" s="240"/>
      <c r="CA15" s="240"/>
      <c r="CB15" s="300"/>
      <c r="CC15" s="300"/>
      <c r="CD15" s="300"/>
      <c r="CE15" s="301"/>
      <c r="CF15" s="239"/>
      <c r="CG15" s="240"/>
      <c r="CH15" s="240"/>
      <c r="CI15" s="240"/>
      <c r="CJ15" s="293"/>
      <c r="CK15" s="293"/>
      <c r="CL15" s="293"/>
      <c r="CM15" s="294"/>
      <c r="CN15" s="218"/>
      <c r="CO15" s="219"/>
      <c r="CP15" s="219"/>
      <c r="CQ15" s="219"/>
      <c r="CR15" s="219"/>
      <c r="CS15" s="219"/>
      <c r="CT15" s="219"/>
      <c r="CU15" s="219"/>
      <c r="CV15" s="219"/>
      <c r="CW15" s="219"/>
      <c r="CX15" s="219"/>
      <c r="CY15" s="219"/>
      <c r="CZ15" s="219"/>
      <c r="DA15" s="219"/>
      <c r="DB15" s="220"/>
      <c r="DC15" s="258"/>
      <c r="DD15" s="259"/>
      <c r="DE15" s="259"/>
      <c r="DF15" s="259"/>
      <c r="DG15" s="226"/>
      <c r="DH15" s="227"/>
      <c r="DI15" s="227"/>
      <c r="DJ15" s="228"/>
      <c r="DK15" s="231"/>
      <c r="DL15" s="227"/>
      <c r="DM15" s="227"/>
      <c r="DN15" s="228"/>
      <c r="DO15" s="271"/>
      <c r="DP15" s="272"/>
      <c r="DQ15" s="272"/>
      <c r="DR15" s="272"/>
      <c r="DS15" s="282"/>
      <c r="DT15" s="258"/>
      <c r="DU15" s="259"/>
      <c r="DV15" s="259"/>
      <c r="DW15" s="259"/>
      <c r="DX15" s="231"/>
      <c r="DY15" s="227"/>
      <c r="DZ15" s="227"/>
      <c r="EA15" s="228"/>
      <c r="EB15" s="231"/>
      <c r="EC15" s="227"/>
      <c r="ED15" s="227"/>
      <c r="EE15" s="228"/>
      <c r="EF15" s="271"/>
      <c r="EG15" s="272"/>
      <c r="EH15" s="272"/>
      <c r="EI15" s="272"/>
      <c r="EJ15" s="273"/>
      <c r="EV15" s="58"/>
      <c r="EW15" s="58"/>
      <c r="EX15" s="58"/>
      <c r="EY15" s="24"/>
      <c r="HS15" s="33" t="s">
        <v>110</v>
      </c>
      <c r="HT15" s="34" t="s">
        <v>94</v>
      </c>
      <c r="HU15" s="34" t="s">
        <v>93</v>
      </c>
      <c r="HV15" s="34" t="s">
        <v>108</v>
      </c>
      <c r="HW15" s="34" t="s">
        <v>109</v>
      </c>
      <c r="HX15" s="34" t="s">
        <v>32</v>
      </c>
      <c r="HY15" s="35">
        <v>14688</v>
      </c>
    </row>
    <row r="16" spans="2:465" ht="15.75" customHeight="1" thickBot="1">
      <c r="B16" s="427" t="s">
        <v>114</v>
      </c>
      <c r="C16" s="428"/>
      <c r="D16" s="429"/>
      <c r="E16" s="363" t="s">
        <v>115</v>
      </c>
      <c r="F16" s="364"/>
      <c r="G16" s="364"/>
      <c r="H16" s="365"/>
      <c r="I16" s="430" t="s">
        <v>116</v>
      </c>
      <c r="J16" s="431"/>
      <c r="K16" s="432"/>
      <c r="L16" s="363" t="s">
        <v>117</v>
      </c>
      <c r="M16" s="381"/>
      <c r="N16" s="381"/>
      <c r="O16" s="381"/>
      <c r="P16" s="381"/>
      <c r="Q16" s="363" t="s">
        <v>118</v>
      </c>
      <c r="R16" s="381"/>
      <c r="S16" s="381"/>
      <c r="T16" s="381"/>
      <c r="U16" s="382"/>
      <c r="V16" s="363" t="s">
        <v>119</v>
      </c>
      <c r="W16" s="364"/>
      <c r="X16" s="364"/>
      <c r="Y16" s="365"/>
      <c r="Z16" s="363" t="s">
        <v>120</v>
      </c>
      <c r="AA16" s="364"/>
      <c r="AB16" s="365"/>
      <c r="AC16" s="363" t="s">
        <v>121</v>
      </c>
      <c r="AD16" s="364"/>
      <c r="AE16" s="365"/>
      <c r="AF16" s="363" t="s">
        <v>122</v>
      </c>
      <c r="AG16" s="364"/>
      <c r="AH16" s="365"/>
      <c r="AI16" s="363" t="s">
        <v>123</v>
      </c>
      <c r="AJ16" s="364"/>
      <c r="AK16" s="364"/>
      <c r="AL16" s="419"/>
      <c r="AM16" s="420" t="s">
        <v>124</v>
      </c>
      <c r="AN16" s="303"/>
      <c r="AO16" s="303"/>
      <c r="AP16" s="304"/>
      <c r="AQ16" s="302" t="s">
        <v>125</v>
      </c>
      <c r="AR16" s="303"/>
      <c r="AS16" s="303"/>
      <c r="AT16" s="304"/>
      <c r="AU16" s="302" t="s">
        <v>126</v>
      </c>
      <c r="AV16" s="303"/>
      <c r="AW16" s="304"/>
      <c r="AX16" s="302" t="s">
        <v>127</v>
      </c>
      <c r="AY16" s="303"/>
      <c r="AZ16" s="304"/>
      <c r="BA16" s="302" t="s">
        <v>128</v>
      </c>
      <c r="BB16" s="303"/>
      <c r="BC16" s="304"/>
      <c r="BD16" s="302" t="s">
        <v>129</v>
      </c>
      <c r="BE16" s="303"/>
      <c r="BF16" s="304"/>
      <c r="BG16" s="302" t="s">
        <v>130</v>
      </c>
      <c r="BH16" s="303"/>
      <c r="BI16" s="304"/>
      <c r="BJ16" s="286" t="s">
        <v>131</v>
      </c>
      <c r="BK16" s="287"/>
      <c r="BL16" s="287"/>
      <c r="BM16" s="305"/>
      <c r="BN16" s="286" t="s">
        <v>132</v>
      </c>
      <c r="BO16" s="287"/>
      <c r="BP16" s="287"/>
      <c r="BQ16" s="287"/>
      <c r="BR16" s="287"/>
      <c r="BS16" s="288"/>
      <c r="BT16" s="374" t="s">
        <v>133</v>
      </c>
      <c r="BU16" s="284"/>
      <c r="BV16" s="284"/>
      <c r="BW16" s="284"/>
      <c r="BX16" s="285"/>
      <c r="BY16" s="283" t="s">
        <v>134</v>
      </c>
      <c r="BZ16" s="284"/>
      <c r="CA16" s="285"/>
      <c r="CB16" s="241" t="s">
        <v>135</v>
      </c>
      <c r="CC16" s="242"/>
      <c r="CD16" s="242"/>
      <c r="CE16" s="243"/>
      <c r="CF16" s="306" t="s">
        <v>136</v>
      </c>
      <c r="CG16" s="307"/>
      <c r="CH16" s="307"/>
      <c r="CI16" s="307"/>
      <c r="CJ16" s="308" t="s">
        <v>137</v>
      </c>
      <c r="CK16" s="309"/>
      <c r="CL16" s="309"/>
      <c r="CM16" s="310"/>
      <c r="CN16" s="255" t="s">
        <v>138</v>
      </c>
      <c r="CO16" s="256"/>
      <c r="CP16" s="256"/>
      <c r="CQ16" s="256"/>
      <c r="CR16" s="256"/>
      <c r="CS16" s="256"/>
      <c r="CT16" s="256"/>
      <c r="CU16" s="256"/>
      <c r="CV16" s="256"/>
      <c r="CW16" s="256"/>
      <c r="CX16" s="256"/>
      <c r="CY16" s="256"/>
      <c r="CZ16" s="256"/>
      <c r="DA16" s="256"/>
      <c r="DB16" s="257"/>
      <c r="DC16" s="229" t="s">
        <v>220</v>
      </c>
      <c r="DD16" s="230"/>
      <c r="DE16" s="230"/>
      <c r="DF16" s="230"/>
      <c r="DG16" s="229" t="s">
        <v>221</v>
      </c>
      <c r="DH16" s="230"/>
      <c r="DI16" s="230"/>
      <c r="DJ16" s="230"/>
      <c r="DK16" s="252" t="s">
        <v>223</v>
      </c>
      <c r="DL16" s="230"/>
      <c r="DM16" s="230"/>
      <c r="DN16" s="253"/>
      <c r="DO16" s="262" t="s">
        <v>224</v>
      </c>
      <c r="DP16" s="263"/>
      <c r="DQ16" s="263"/>
      <c r="DR16" s="263"/>
      <c r="DS16" s="264"/>
      <c r="DT16" s="255" t="s">
        <v>225</v>
      </c>
      <c r="DU16" s="233"/>
      <c r="DV16" s="233"/>
      <c r="DW16" s="233"/>
      <c r="DX16" s="232" t="s">
        <v>226</v>
      </c>
      <c r="DY16" s="233"/>
      <c r="DZ16" s="233"/>
      <c r="EA16" s="233"/>
      <c r="EB16" s="232" t="s">
        <v>227</v>
      </c>
      <c r="EC16" s="233"/>
      <c r="ED16" s="233"/>
      <c r="EE16" s="251"/>
      <c r="EF16" s="274" t="s">
        <v>329</v>
      </c>
      <c r="EG16" s="275"/>
      <c r="EH16" s="275"/>
      <c r="EI16" s="275"/>
      <c r="EJ16" s="276"/>
      <c r="EV16" s="59"/>
      <c r="EW16" s="59"/>
      <c r="EX16" s="59"/>
      <c r="EY16" s="24"/>
      <c r="HM16" s="234" t="s">
        <v>239</v>
      </c>
      <c r="HN16" s="234"/>
      <c r="HO16" s="235"/>
      <c r="HP16" s="234" t="s">
        <v>238</v>
      </c>
      <c r="HQ16" s="234"/>
      <c r="HR16" s="235"/>
      <c r="HS16" s="36"/>
      <c r="HT16" s="37"/>
      <c r="HU16" s="37"/>
      <c r="HV16" s="37"/>
      <c r="HW16" s="37"/>
      <c r="HX16" s="37"/>
      <c r="HY16" s="38"/>
    </row>
    <row r="17" spans="2:233" ht="24.95" customHeight="1" thickTop="1">
      <c r="B17" s="433" t="s">
        <v>45</v>
      </c>
      <c r="C17" s="434"/>
      <c r="D17" s="434"/>
      <c r="E17" s="383">
        <v>1.1000000000000001</v>
      </c>
      <c r="F17" s="384"/>
      <c r="G17" s="384"/>
      <c r="H17" s="385"/>
      <c r="I17" s="435">
        <v>8</v>
      </c>
      <c r="J17" s="435"/>
      <c r="K17" s="435"/>
      <c r="L17" s="366" t="s">
        <v>34</v>
      </c>
      <c r="M17" s="367"/>
      <c r="N17" s="367"/>
      <c r="O17" s="367"/>
      <c r="P17" s="367"/>
      <c r="Q17" s="383" t="s">
        <v>113</v>
      </c>
      <c r="R17" s="384"/>
      <c r="S17" s="384"/>
      <c r="T17" s="384"/>
      <c r="U17" s="385"/>
      <c r="V17" s="201"/>
      <c r="W17" s="202"/>
      <c r="X17" s="202"/>
      <c r="Y17" s="203"/>
      <c r="Z17" s="386"/>
      <c r="AA17" s="387"/>
      <c r="AB17" s="388"/>
      <c r="AC17" s="386">
        <v>19</v>
      </c>
      <c r="AD17" s="387"/>
      <c r="AE17" s="388"/>
      <c r="AF17" s="386">
        <v>20</v>
      </c>
      <c r="AG17" s="387"/>
      <c r="AH17" s="388"/>
      <c r="AI17" s="395">
        <v>0</v>
      </c>
      <c r="AJ17" s="396"/>
      <c r="AK17" s="396"/>
      <c r="AL17" s="396"/>
      <c r="AM17" s="372">
        <f>(IF(E17="","",IF((E17&lt;$BC$8),(E17*AC17),(($BC$8*AC17)+(E17-$BC$8)*AF17))))</f>
        <v>20.900000000000002</v>
      </c>
      <c r="AN17" s="373"/>
      <c r="AO17" s="373"/>
      <c r="AP17" s="373"/>
      <c r="AQ17" s="373">
        <f>(IF(E17="","",IF($E$33&lt;E17,"",(AM17-MAX($E$17-$BC$8,0)*9.81))))</f>
        <v>20.900000000000002</v>
      </c>
      <c r="AR17" s="373"/>
      <c r="AS17" s="373"/>
      <c r="AT17" s="373"/>
      <c r="AU17" s="213" t="str">
        <f>IF(E17="","",IF(I17="R","-",IF(E17&lt;=$BC$8,"-",IF(HS17&lt;=1.7,(9.78*SQRT(1/AQ17)),IF(HS17&gt;1.7,$HP$18,$HP$19)))))</f>
        <v>-</v>
      </c>
      <c r="AV17" s="213"/>
      <c r="AW17" s="213"/>
      <c r="AX17" s="407" t="str">
        <f>IF(E17="","",IF(I17="r","-",IF(E17&lt;=$BC$8,"-",IF((E17+1.5)&lt;4,$HM$18,IF((E17+1.5)&lt;6,$HM$19,IF((E17+1.5)&lt;10,$HM$20,$HM$21))))))</f>
        <v>-</v>
      </c>
      <c r="AY17" s="408"/>
      <c r="AZ17" s="409"/>
      <c r="BA17" s="213" t="str">
        <f>IF(E17="","",IF(I17="r","-",IF(E17&lt;=$BC$8,"-",IF($HV$17=1,1,1.2))))</f>
        <v>-</v>
      </c>
      <c r="BB17" s="213"/>
      <c r="BC17" s="213"/>
      <c r="BD17" s="213" t="str">
        <f>IF(E17="","",IF(I17="r","-",IF(E17&lt;$BC$8,"-",IF($HW$17=1,1,IF($HW$17=2,1.05,1.15)))))</f>
        <v>-</v>
      </c>
      <c r="BE17" s="213"/>
      <c r="BF17" s="213"/>
      <c r="BG17" s="213" t="str">
        <f>IF(I17="","",IF(E17&lt;=$BC$8,"-",IF(I17="r","-",+$BT$11/60)))</f>
        <v>-</v>
      </c>
      <c r="BH17" s="213"/>
      <c r="BI17" s="213"/>
      <c r="BJ17" s="389" t="str">
        <f>IF(E17="","",IF(I17="R","-",IF(E17&lt;=$BC$8,"-",IF(PRODUCT(I17,AU17,AX17,BA17,BD17,BG17)&lt;30,(PRODUCT(I17,AU17,AX17,BA17,BD17,BG17)),"&gt;30"))))</f>
        <v>-</v>
      </c>
      <c r="BK17" s="389"/>
      <c r="BL17" s="389"/>
      <c r="BM17" s="389"/>
      <c r="BN17" s="390" t="str">
        <f>IF(E17="","",IF(E17&lt;=$BC$8,"-",IF(BJ17="-","-",IF(BJ17="&gt;30","-",IF(AI17&lt;=5,BJ17,IF(AI17&gt;=35,(5+1.2*BJ17),((EXP(1.76-(190/(AI17^2))))+((0.99+(AI17^1.5)/1000)*BJ17))))))))</f>
        <v>-</v>
      </c>
      <c r="BO17" s="391"/>
      <c r="BP17" s="391"/>
      <c r="BQ17" s="391"/>
      <c r="BR17" s="391"/>
      <c r="BS17" s="392"/>
      <c r="BT17" s="295" t="str">
        <f>IF(E17="","",IF(AND($BL$9="DTS - 4",Z17&gt;20,V17&gt;10),"-",IF(AND($BL$9="DTS - 4",AI17&gt;35,BJ17&gt;20),"-",IF(V17&gt;=12,"-",IF(E17&lt;=$BC$8,"-",IF(BJ17&gt;30,"-",IF(BN17&gt;=34,"-",IF(BJ17&lt;30,(1/(34-BN17))+BN17/135+50/(10*BN17+45)^2-1/200,2))))))))</f>
        <v>-</v>
      </c>
      <c r="BU17" s="296"/>
      <c r="BV17" s="296"/>
      <c r="BW17" s="296"/>
      <c r="BX17" s="296"/>
      <c r="BY17" s="195" t="str">
        <f>IF(I17="","",IF(AND($BL$9="DTS - 4",Z17&gt;20,V17&gt;10),"-",IF(AND($BL$9="DTS - 4",AI17&gt;35,BJ17&gt;20),"-",IF(V17&gt;=12,"-",IF(E17&lt;=$BC$8,"-",IF(BJ17&gt;30,"-",IF(BN17&gt;=34,"-",((10^2.24/$AU$9^2.56)))))))))</f>
        <v>-</v>
      </c>
      <c r="BZ17" s="196"/>
      <c r="CA17" s="236"/>
      <c r="CB17" s="213" t="str">
        <f>+IF(I17="","",IF(AND($BL$9="DTS - 4",Z17&gt;20,V17&gt;10),"-",IF(AND($BL$9="DTS - 4",AI17&gt;35,BJ17&gt;20),"-",IF(V17&gt;=12,"-",IF(E17&lt;=$BC$8,"-",IF(BJ17&gt;30,"-",IF(BN17&gt;=34,"-",(PRODUCT(BT17,BY17,AQ17)))))))))</f>
        <v>-</v>
      </c>
      <c r="CC17" s="213"/>
      <c r="CD17" s="213"/>
      <c r="CE17" s="214"/>
      <c r="CF17" s="311" t="str">
        <f>IF(I17="","",IF(AND($BL$9="DTS - 4",Z17&gt;20,V17&gt;10),"-",IF(AND($BL$9="DTS - 4",AI17&gt;35,BJ17&gt;20),"-",IF(V17&gt;=12,"-",IF(E17&lt;=$BC$8,"-",IF(BJ17&gt;30,"-",IF(BN17&gt;=34,"-",IF(E17&lt;=9.15,(1-0.00765*E17),IF(E17&lt;=23,(1.174-0.0267*E17),IF(E17&lt;=30,(0.744-0.008*E17),0.5))))))))))</f>
        <v>-</v>
      </c>
      <c r="CG17" s="213"/>
      <c r="CH17" s="213"/>
      <c r="CI17" s="213"/>
      <c r="CJ17" s="213" t="str">
        <f>+IF(I17="","",IF(AND($BL$9="DTS - 4",Z17&gt;20,V17&gt;10),"-",IF(AND($BL$9="DTS - 4",AI17&gt;35,BJ17&gt;20),"-",IF(V17&gt;=12,"-",IF(E17&lt;=$BC$8,"-",IF(BJ17&gt;30,"-",IF(BN17&gt;=34,"-",(0.65*AM17*0.4*$CD$9*CF17))))))))</f>
        <v>-</v>
      </c>
      <c r="CK17" s="213"/>
      <c r="CL17" s="213"/>
      <c r="CM17" s="214"/>
      <c r="CN17" s="297" t="str">
        <f>IF(I17="","",IF(AND($BL$9="DTS - 4",Z17&gt;20,V17&gt;10),"-",IF(AND($BL$9="DTS - 4",AI17&gt;35,BJ17&gt;20),"-",IF(V17&gt;=12,"-",IF(E17&lt;=$BC$8,"-",IF(BJ17&gt;30,"-",IF(BN17&gt;=34,"-",ROUNDUP((CB17/CJ17),2))))))))</f>
        <v>-</v>
      </c>
      <c r="CO17" s="196"/>
      <c r="CP17" s="196"/>
      <c r="CQ17" s="236"/>
      <c r="CR17" s="213" t="str">
        <f t="shared" ref="CR17:CR31" si="0">+IF(I17="","",IF($E$33&lt;E17,"",IF(BJ17&gt;30,"-",IF(CN17&lt;1.1,"Sıvılaşma Beklenir",IF(CN17="-","-","Sıvılaşma Yok")))))</f>
        <v>-</v>
      </c>
      <c r="CS17" s="213"/>
      <c r="CT17" s="213"/>
      <c r="CU17" s="213"/>
      <c r="CV17" s="213"/>
      <c r="CW17" s="213"/>
      <c r="CX17" s="213"/>
      <c r="CY17" s="213"/>
      <c r="CZ17" s="213"/>
      <c r="DA17" s="213"/>
      <c r="DB17" s="214"/>
      <c r="DC17" s="170" t="str">
        <f>IF(E17="","",IF(CN17&gt;1,"-",IF($BC$8&lt;E17,(E17-$BC$8)+((E18-E17)/2),IF($BC$8&gt;=E18,0,0))))</f>
        <v>-</v>
      </c>
      <c r="DD17" s="171"/>
      <c r="DE17" s="171"/>
      <c r="DF17" s="172"/>
      <c r="DG17" s="170" t="str">
        <f>+IF(E17="","",IF(CN17="-","-",IF(CN17&gt;=1,"-",10-0.5*E17/2)))</f>
        <v>-</v>
      </c>
      <c r="DH17" s="171"/>
      <c r="DI17" s="171"/>
      <c r="DJ17" s="174"/>
      <c r="DK17" s="195" t="str">
        <f>+IF(E17="","",IF(CN17="-","-",IF(CN17&gt;=1,"-",(1-CN17))))</f>
        <v>-</v>
      </c>
      <c r="DL17" s="196"/>
      <c r="DM17" s="196"/>
      <c r="DN17" s="236"/>
      <c r="DO17" s="195" t="str">
        <f>+IF(E17="","",IF(CN17="-","-",IF(CN17&gt;=1,"-",DK17*DG17*DC17)))</f>
        <v>-</v>
      </c>
      <c r="DP17" s="196"/>
      <c r="DQ17" s="196"/>
      <c r="DR17" s="196"/>
      <c r="DS17" s="254"/>
      <c r="DT17" s="178" t="str">
        <f>IF(E17="","",IF(CN17&gt;1.411,"-",IF($BC$8&lt;E17,(E17-$BC$8)+((E18-E17)/2),IF($BC$8&gt;=E18,0,0))))</f>
        <v>-</v>
      </c>
      <c r="DU17" s="157"/>
      <c r="DV17" s="157"/>
      <c r="DW17" s="158"/>
      <c r="DX17" s="173" t="str">
        <f>+IF(E17="","",IF(CN17="-","-",10-0.5*E17/2))</f>
        <v>-</v>
      </c>
      <c r="DY17" s="171"/>
      <c r="DZ17" s="171"/>
      <c r="EA17" s="174"/>
      <c r="EB17" s="195" t="str">
        <f>+IF(E17="","",IF(CN17="-","-",IF(CN17&lt;=1.411,(1/(1+(CN17/0.96)^4.5)),0)))</f>
        <v>-</v>
      </c>
      <c r="EC17" s="196"/>
      <c r="ED17" s="196"/>
      <c r="EE17" s="236"/>
      <c r="EF17" s="195" t="str">
        <f>+IF(E17="","",IF(CN17="-","-",IF(E17&gt;0,EB17*DX17*DT17,"")))</f>
        <v>-</v>
      </c>
      <c r="EG17" s="196"/>
      <c r="EH17" s="196"/>
      <c r="EI17" s="196"/>
      <c r="EJ17" s="197"/>
      <c r="EV17" s="50"/>
      <c r="EW17" s="50"/>
      <c r="EX17" s="50"/>
      <c r="EY17" s="24"/>
      <c r="HS17" s="52">
        <f t="shared" ref="HS17:HS33" si="1">9.78*SQRT(1/AQ17)</f>
        <v>2.1392705459804566</v>
      </c>
      <c r="HT17" s="53">
        <v>2</v>
      </c>
      <c r="HU17" s="53">
        <v>12</v>
      </c>
      <c r="HV17" s="53">
        <f>+IF(Z11="Standart (iç tüpü olan)",1,1.2)</f>
        <v>1</v>
      </c>
      <c r="HW17" s="53">
        <f>+IF(AM11="Çap 200mm","3",IF(AM11="Çap 150mm",2,1))</f>
        <v>1</v>
      </c>
      <c r="HX17" s="53">
        <v>7</v>
      </c>
      <c r="HY17" s="54">
        <v>48</v>
      </c>
    </row>
    <row r="18" spans="2:233" ht="24.95" customHeight="1">
      <c r="B18" s="312" t="s">
        <v>46</v>
      </c>
      <c r="C18" s="313"/>
      <c r="D18" s="313"/>
      <c r="E18" s="198">
        <v>1.8</v>
      </c>
      <c r="F18" s="199"/>
      <c r="G18" s="199"/>
      <c r="H18" s="200"/>
      <c r="I18" s="208">
        <v>12</v>
      </c>
      <c r="J18" s="208"/>
      <c r="K18" s="208"/>
      <c r="L18" s="206" t="s">
        <v>34</v>
      </c>
      <c r="M18" s="207"/>
      <c r="N18" s="207"/>
      <c r="O18" s="207"/>
      <c r="P18" s="207"/>
      <c r="Q18" s="198" t="s">
        <v>113</v>
      </c>
      <c r="R18" s="199"/>
      <c r="S18" s="199"/>
      <c r="T18" s="199"/>
      <c r="U18" s="200"/>
      <c r="V18" s="201"/>
      <c r="W18" s="202"/>
      <c r="X18" s="202"/>
      <c r="Y18" s="203"/>
      <c r="Z18" s="201"/>
      <c r="AA18" s="202"/>
      <c r="AB18" s="203"/>
      <c r="AC18" s="201">
        <v>19</v>
      </c>
      <c r="AD18" s="202"/>
      <c r="AE18" s="203"/>
      <c r="AF18" s="201">
        <v>20</v>
      </c>
      <c r="AG18" s="202"/>
      <c r="AH18" s="203"/>
      <c r="AI18" s="204">
        <v>2</v>
      </c>
      <c r="AJ18" s="205"/>
      <c r="AK18" s="205"/>
      <c r="AL18" s="205"/>
      <c r="AM18" s="314">
        <f>(IF(E18="","",IF((E18&lt;$BC$8),(E18*AC18),(($BC$8*AC18)+(E18-$BC$8)*AF18))))</f>
        <v>34.200000000000003</v>
      </c>
      <c r="AN18" s="185"/>
      <c r="AO18" s="185"/>
      <c r="AP18" s="185"/>
      <c r="AQ18" s="185">
        <f>(IF(E18="","",(AM18-MAX(E18-$BC$8,0)*9.81)))</f>
        <v>34.200000000000003</v>
      </c>
      <c r="AR18" s="185"/>
      <c r="AS18" s="185"/>
      <c r="AT18" s="185"/>
      <c r="AU18" s="162" t="str">
        <f>IF(E18="","",IF(I18="R","-",IF(E18&lt;=$BC$8,"-",IF(HS18&lt;=1.7,(9.78*SQRT(1/AQ18)),IF(HS18&gt;1.7,$HP$18,$HP$19)))))</f>
        <v>-</v>
      </c>
      <c r="AV18" s="157"/>
      <c r="AW18" s="158"/>
      <c r="AX18" s="186" t="str">
        <f>IF(E18="","",IF(I18="r","-",IF(E18&lt;=$BC$8,"-",IF((E18+1.5)&lt;4,$HM$18,IF((E18+1.5)&lt;6,$HM$19,IF((E18+1.5)&lt;10,$HM$20,$HM$21))))))</f>
        <v>-</v>
      </c>
      <c r="AY18" s="187"/>
      <c r="AZ18" s="188"/>
      <c r="BA18" s="182" t="str">
        <f>IF(E18="","",IF(I18="r","-",IF(E18&lt;=$BC$8,"-",IF($HV$17=1,1,1.2))))</f>
        <v>-</v>
      </c>
      <c r="BB18" s="182"/>
      <c r="BC18" s="182"/>
      <c r="BD18" s="182" t="str">
        <f>IF(E18="","",IF(I18="r","-",IF(E18&lt;=$BC$8,"-",IF($HW$17=1,1,IF($HW$17=2,1.05,1.15)))))</f>
        <v>-</v>
      </c>
      <c r="BE18" s="182"/>
      <c r="BF18" s="182"/>
      <c r="BG18" s="182" t="str">
        <f t="shared" ref="BG18:BG31" si="2">IF(I18="","",IF(E18&lt;=$BC$8,"-",IF($E$33&lt;E18,"",IF(I18="r","-",+$BT$11/60))))</f>
        <v>-</v>
      </c>
      <c r="BH18" s="182"/>
      <c r="BI18" s="182"/>
      <c r="BJ18" s="189" t="str">
        <f>IF(E18="","",IF(I18="R","-",IF(E18&lt;=$BC$8,"-",IF(PRODUCT(I18,AU18,AX18,BA18,BD18,BG18)&lt;30,(PRODUCT(I18,AU18,AX18,BA18,BD18,BG18)),"&gt;30"))))</f>
        <v>-</v>
      </c>
      <c r="BK18" s="189"/>
      <c r="BL18" s="189"/>
      <c r="BM18" s="189"/>
      <c r="BN18" s="190" t="str">
        <f>IF(E18="","",IF(E18&lt;=$BC$8,"-",IF(BJ18="-","-",IF(BJ18="&gt;30","-",IF(AI18&lt;=5,BJ18,IF(AI18&gt;=35,(5+1.2*BJ18),((EXP(1.76-(190/(AI18^2))))+((0.99+(AI18^1.5)/1000)*BJ18))))))))</f>
        <v>-</v>
      </c>
      <c r="BO18" s="191"/>
      <c r="BP18" s="191"/>
      <c r="BQ18" s="191"/>
      <c r="BR18" s="191"/>
      <c r="BS18" s="192"/>
      <c r="BT18" s="193" t="str">
        <f>IF(E18="","",IF(AND($BL$9="DTS - 4",Z18&gt;20,V18&gt;10),"-",IF(AND($BL$9="DTS - 4",AI18&gt;35,BJ18&gt;20),"-",IF(V18&gt;=12,"-",IF(E18&lt;=$BC$8,"-",IF(BJ18&gt;30,"-",IF(BN18&gt;=34,"-",IF(BJ18&lt;30,(1/(34-BN18))+BN18/135+50/(10*BN18+45)^2-1/200,2))))))))</f>
        <v>-</v>
      </c>
      <c r="BU18" s="194"/>
      <c r="BV18" s="194"/>
      <c r="BW18" s="194"/>
      <c r="BX18" s="194"/>
      <c r="BY18" s="162" t="str">
        <f>IF(I18="","",IF(AND($BL$9="DTS - 4",Z18&gt;20,V18&gt;10),"-",IF(AND($BL$9="DTS - 4",AI18&gt;35,BJ18&gt;20),"-",IF(V18&gt;=12,"-",IF(E18&lt;=$BC$8,"-",IF(BJ18&gt;30,"-",IF(BN18&gt;=34,"-",((10^2.24/$AU$9^2.56)))))))))</f>
        <v>-</v>
      </c>
      <c r="BZ18" s="157"/>
      <c r="CA18" s="158"/>
      <c r="CB18" s="182" t="str">
        <f>+IF(I18="","",IF(AND($BL$9="DTS - 4",Z18&gt;20,V18&gt;10),"-",IF(AND($BL$9="DTS - 4",AI18&gt;35,BJ18&gt;20),"-",IF(V18&gt;=12,"-",IF(E18&lt;=$BC$8,"-",IF(BJ18&gt;30,"-",IF(BN18&gt;=34,"-",(PRODUCT(BT18,BY18,AQ18)))))))))</f>
        <v>-</v>
      </c>
      <c r="CC18" s="182"/>
      <c r="CD18" s="182"/>
      <c r="CE18" s="183"/>
      <c r="CF18" s="184" t="str">
        <f>IF(I18="","",IF(AND($BL$9="DTS - 4",Z18&gt;20,V18&gt;10),"-",IF(AND($BL$9="DTS - 4",AI18&gt;35,BJ18&gt;20),"-",IF(V18&gt;=12,"-",IF(E18&lt;=$BC$8,"-",IF(BJ18&gt;30,"-",IF(BN18&gt;=34,"-",IF(E18&lt;=9.15,(1-0.00765*E18),IF(E18&lt;=23,(1.174-0.0267*E18),IF(E18&lt;=30,(0.744-0.008*E18),0.5))))))))))</f>
        <v>-</v>
      </c>
      <c r="CG18" s="182"/>
      <c r="CH18" s="182"/>
      <c r="CI18" s="182"/>
      <c r="CJ18" s="182" t="str">
        <f>+IF(I18="","",IF(AND($BL$9="DTS - 4",Z18&gt;20,V18&gt;10),"-",IF(AND($BL$9="DTS - 4",AI18&gt;35,BJ18&gt;20),"-",IF(V18&gt;=12,"-",IF(E18&lt;=$BC$8,"-",IF(BJ18&gt;30,"-",IF(BN18&gt;=34,"-",(0.65*AM18*0.4*$CD$9*CF18))))))))</f>
        <v>-</v>
      </c>
      <c r="CK18" s="182"/>
      <c r="CL18" s="182"/>
      <c r="CM18" s="183"/>
      <c r="CN18" s="178" t="str">
        <f>IF(I18="","",IF(AND($BL$9="DTS - 4",Z18&gt;20,V18&gt;10),"-",IF(AND($BL$9="DTS - 4",AI18&gt;35,BJ18&gt;20),"-",IF(V18&gt;=12,"-",IF(E18&lt;=$BC$8,"-",IF(BJ18&gt;30,"-",IF(BN18&gt;=34,"-",ROUNDUP((CB18/CJ18),2))))))))</f>
        <v>-</v>
      </c>
      <c r="CO18" s="157"/>
      <c r="CP18" s="157"/>
      <c r="CQ18" s="158"/>
      <c r="CR18" s="182" t="str">
        <f t="shared" si="0"/>
        <v>-</v>
      </c>
      <c r="CS18" s="182"/>
      <c r="CT18" s="182"/>
      <c r="CU18" s="182"/>
      <c r="CV18" s="182"/>
      <c r="CW18" s="182"/>
      <c r="CX18" s="182"/>
      <c r="CY18" s="182"/>
      <c r="CZ18" s="182"/>
      <c r="DA18" s="182"/>
      <c r="DB18" s="183"/>
      <c r="DC18" s="156" t="str">
        <f>IF(E18="","",IF(CN18&gt;1,"-",IF(E19="",($E$33-E18)+((E18-E17)/2),IF(AND(DT17=0,$BC$8&lt;E18,$BC$8&gt;=E17),((E19-E18)/2)+(E18-$BC$8),((E19-E18)/2)+((E18-E17)/2)))))</f>
        <v>-</v>
      </c>
      <c r="DD18" s="157"/>
      <c r="DE18" s="157"/>
      <c r="DF18" s="158"/>
      <c r="DG18" s="178" t="str">
        <f>+IF(E18="","",IF(OR((E18&gt;20),(CN18&gt;1)),"-",IF(CN18&gt;=1,"-",10-(0.5*(((E18-E17)/2)+E17)))))</f>
        <v>-</v>
      </c>
      <c r="DH18" s="157"/>
      <c r="DI18" s="157"/>
      <c r="DJ18" s="157"/>
      <c r="DK18" s="162" t="str">
        <f>+IF(E18="","",IF(CN18="-","-",IF(OR((E18&gt;20),(CN18&gt;=1)),"-",(1-CN18))))</f>
        <v>-</v>
      </c>
      <c r="DL18" s="157"/>
      <c r="DM18" s="157"/>
      <c r="DN18" s="158"/>
      <c r="DO18" s="162" t="str">
        <f>+IF(E18="","",IF(CN18="-","-",IF(OR((E18&gt;20),(CN18&gt;=1)),"-",DK18*DG18*DC18)))</f>
        <v>-</v>
      </c>
      <c r="DP18" s="157"/>
      <c r="DQ18" s="157"/>
      <c r="DR18" s="157"/>
      <c r="DS18" s="163"/>
      <c r="DT18" s="156" t="str">
        <f>IF(E18="","",IF(CN18="-","-",IF(CN18&gt;1.411,"-",IF(E19="",($E$33-E18)+((E18-E17)/2),IF(AND(DT17=0,$BC$8&lt;E18,$BC$8&gt;=E17),((E19-E18)/2)+(E18-$BC$8),((E19-E18)/2)+((E18-E17)/2))))))</f>
        <v>-</v>
      </c>
      <c r="DU18" s="157"/>
      <c r="DV18" s="157"/>
      <c r="DW18" s="158"/>
      <c r="DX18" s="162" t="str">
        <f>+IF(E18="","",IF(OR((E18&gt;20),(CN18&gt;1.411)),"-",10-(0.5*(((E18-E17)/2)+E17))))</f>
        <v>-</v>
      </c>
      <c r="DY18" s="157"/>
      <c r="DZ18" s="157"/>
      <c r="EA18" s="158"/>
      <c r="EB18" s="162" t="str">
        <f>+IF(E18="","",IF(CN18="-","-",IF(OR((E18&gt;20),(CN18&gt;1.411)),"-",(1/(1+(CN18/0.96)^4.5)))))</f>
        <v>-</v>
      </c>
      <c r="EC18" s="157"/>
      <c r="ED18" s="157"/>
      <c r="EE18" s="158"/>
      <c r="EF18" s="162" t="str">
        <f>+IF(E18="","",IF(CN18="-","-",IF(E18&gt;0,IFERROR(EB18*DX18*DT18,"-"))))</f>
        <v>-</v>
      </c>
      <c r="EG18" s="157"/>
      <c r="EH18" s="157"/>
      <c r="EI18" s="157"/>
      <c r="EJ18" s="175"/>
      <c r="EV18" s="50"/>
      <c r="EW18" s="50"/>
      <c r="EX18" s="50"/>
      <c r="EY18" s="24"/>
      <c r="HM18" s="221">
        <v>0.75</v>
      </c>
      <c r="HN18" s="221"/>
      <c r="HO18" s="222"/>
      <c r="HP18" s="221">
        <v>1.7</v>
      </c>
      <c r="HQ18" s="221"/>
      <c r="HR18" s="222"/>
      <c r="HS18" s="52">
        <f t="shared" si="1"/>
        <v>1.672344713898801</v>
      </c>
      <c r="HT18" s="53"/>
      <c r="HU18" s="53">
        <v>7</v>
      </c>
      <c r="HV18" s="53"/>
      <c r="HW18" s="53"/>
      <c r="HX18" s="53"/>
      <c r="HY18" s="54">
        <v>48</v>
      </c>
    </row>
    <row r="19" spans="2:233" ht="24.95" customHeight="1">
      <c r="B19" s="312" t="s">
        <v>47</v>
      </c>
      <c r="C19" s="313"/>
      <c r="D19" s="313"/>
      <c r="E19" s="198">
        <v>2.6</v>
      </c>
      <c r="F19" s="199"/>
      <c r="G19" s="199"/>
      <c r="H19" s="200"/>
      <c r="I19" s="208">
        <v>7</v>
      </c>
      <c r="J19" s="208"/>
      <c r="K19" s="208"/>
      <c r="L19" s="206" t="s">
        <v>34</v>
      </c>
      <c r="M19" s="207"/>
      <c r="N19" s="207"/>
      <c r="O19" s="207"/>
      <c r="P19" s="207"/>
      <c r="Q19" s="198" t="s">
        <v>113</v>
      </c>
      <c r="R19" s="199"/>
      <c r="S19" s="199"/>
      <c r="T19" s="199"/>
      <c r="U19" s="200"/>
      <c r="V19" s="201"/>
      <c r="W19" s="202"/>
      <c r="X19" s="202"/>
      <c r="Y19" s="203"/>
      <c r="Z19" s="201"/>
      <c r="AA19" s="202"/>
      <c r="AB19" s="203"/>
      <c r="AC19" s="201">
        <v>19</v>
      </c>
      <c r="AD19" s="202"/>
      <c r="AE19" s="203"/>
      <c r="AF19" s="201">
        <v>20</v>
      </c>
      <c r="AG19" s="202"/>
      <c r="AH19" s="203"/>
      <c r="AI19" s="204">
        <v>2</v>
      </c>
      <c r="AJ19" s="205"/>
      <c r="AK19" s="205"/>
      <c r="AL19" s="205"/>
      <c r="AM19" s="314">
        <f t="shared" ref="AM19:AM31" si="3">(IF(E19="","",IF((E19&lt;$BC$8),(E19*AC19),(($BC$8*AC19)+(E19-$BC$8)*AF19))))</f>
        <v>50</v>
      </c>
      <c r="AN19" s="185"/>
      <c r="AO19" s="185"/>
      <c r="AP19" s="185"/>
      <c r="AQ19" s="185">
        <f>(IF(E19="","",(AM19-MAX(E19-$BC$8,0)*9.81)))</f>
        <v>44.113999999999997</v>
      </c>
      <c r="AR19" s="185"/>
      <c r="AS19" s="185"/>
      <c r="AT19" s="185"/>
      <c r="AU19" s="162">
        <f t="shared" ref="AU19:AU31" si="4">IF(E19="","",IF(I19="R","-",IF(E19&lt;=$BC$8,"-",IF(HS19&lt;=1.7,(9.78*SQRT(1/AQ19)),IF(HS19&gt;1.7,$HP$18,$HP$19)))))</f>
        <v>1.4724841726359787</v>
      </c>
      <c r="AV19" s="157"/>
      <c r="AW19" s="158"/>
      <c r="AX19" s="186">
        <f t="shared" ref="AX19:AX31" si="5">IF(E19="","",IF(I19="r","-",IF(E19&lt;=$BC$8,"-",IF((E19+1.5)&lt;4,$HM$18,IF((E19+1.5)&lt;6,$HM$19,IF((E19+1.5)&lt;10,$HM$20,$HM$21))))))</f>
        <v>0.85</v>
      </c>
      <c r="AY19" s="187"/>
      <c r="AZ19" s="188"/>
      <c r="BA19" s="182">
        <f t="shared" ref="BA19:BA31" si="6">IF(E19="","",IF(I19="r","-",IF(E19&lt;=$BC$8,"-",IF($HV$17=1,1,1.2))))</f>
        <v>1</v>
      </c>
      <c r="BB19" s="182"/>
      <c r="BC19" s="182"/>
      <c r="BD19" s="182">
        <f t="shared" ref="BD19:BD31" si="7">IF(E19="","",IF(I19="r","-",IF(E19&lt;=$BC$8,"-",IF($HW$17=1,1,IF($HW$17=2,1.05,1.15)))))</f>
        <v>1</v>
      </c>
      <c r="BE19" s="182"/>
      <c r="BF19" s="182"/>
      <c r="BG19" s="182">
        <f t="shared" si="2"/>
        <v>1</v>
      </c>
      <c r="BH19" s="182"/>
      <c r="BI19" s="182"/>
      <c r="BJ19" s="189">
        <f t="shared" ref="BJ19:BJ27" si="8">IF(E19="","",IF(I19="R","-",IF(E19&lt;=$BC$8,"-",IF(PRODUCT(I19,AU19,AX19,BA19,BD19,BG19)&lt;30,(PRODUCT(I19,AU19,AX19,BA19,BD19,BG19)),"&gt;30"))))</f>
        <v>8.7612808271840734</v>
      </c>
      <c r="BK19" s="189"/>
      <c r="BL19" s="189"/>
      <c r="BM19" s="189"/>
      <c r="BN19" s="190">
        <f>IF(E19="","",IF(E19&lt;=$BC$8,"-",IF(BJ19="-","-",IF(BJ19="&gt;30","-",IF(AI19&lt;=5,BJ19,IF(AI19&gt;=35,(5+1.2*BJ19),((EXP(1.76-(190/(AI19^2))))+((0.99+(AI19^1.5)/1000)*BJ19))))))))</f>
        <v>8.7612808271840734</v>
      </c>
      <c r="BO19" s="191"/>
      <c r="BP19" s="191"/>
      <c r="BQ19" s="191"/>
      <c r="BR19" s="191"/>
      <c r="BS19" s="192"/>
      <c r="BT19" s="193">
        <f t="shared" ref="BT19:BT31" si="9">IF(E19="","",IF(AND($BL$9="DTS - 4",Z19&gt;20,V19&gt;10),"-",IF(AND($BL$9="DTS - 4",AI19&gt;35,BJ19&gt;20),"-",IF(V19&gt;=12,"-",IF(E19&lt;=$BC$8,"-",IF(BJ19&gt;30,"-",IF(BN19&gt;=34,"-",IF(BJ19&lt;30,(1/(34-BN19))+BN19/135+50/(10*BN19+45)^2-1/200,2))))))))</f>
        <v>0.10236318381760187</v>
      </c>
      <c r="BU19" s="194"/>
      <c r="BV19" s="194"/>
      <c r="BW19" s="194"/>
      <c r="BX19" s="194"/>
      <c r="BY19" s="162">
        <f>IF(I19="","",IF(AND($BL$9="DTS - 4",Z19&gt;20,V19&gt;10),"-",IF(AND($BL$9="DTS - 4",AI19&gt;35,BJ19&gt;20),"-",IF(V19&gt;=12,"-",IF(E19&lt;=$BC$8,"-",IF(BJ19&gt;30,"-",IF(BN19&gt;=34,"-",((10^2.24/$AU$9^2.56)))))))))</f>
        <v>1.4419221291650139</v>
      </c>
      <c r="BZ19" s="157"/>
      <c r="CA19" s="158"/>
      <c r="CB19" s="182">
        <f>+IF(I19="","",IF(AND($BL$9="DTS - 4",Z19&gt;20,V19&gt;10),"-",IF(AND($BL$9="DTS - 4",AI19&gt;35,BJ19&gt;20),"-",IF(V19&gt;=12,"-",IF(E19&lt;=$BC$8,"-",IF(BJ19&gt;30,"-",IF(BN19&gt;=34,"-",(PRODUCT(BT19,BY19,AQ19)))))))))</f>
        <v>6.5112149285242475</v>
      </c>
      <c r="CC19" s="182"/>
      <c r="CD19" s="182"/>
      <c r="CE19" s="183"/>
      <c r="CF19" s="184">
        <f t="shared" ref="CF19:CF31" si="10">IF(I19="","",IF(AND($BL$9="DTS - 4",Z19&gt;20,V19&gt;10),"-",IF(AND($BL$9="DTS - 4",AI19&gt;35,BJ19&gt;20),"-",IF(V19&gt;=12,"-",IF(E19&lt;=$BC$8,"-",IF(BJ19&gt;30,"-",IF(BN19&gt;=34,"-",IF(E19&lt;=9.15,(1-0.00765*E19),IF(E19&lt;=23,(1.174-0.0267*E19),IF(E19&lt;=30,(0.744-0.008*E19),0.5))))))))))</f>
        <v>0.98011000000000004</v>
      </c>
      <c r="CG19" s="182"/>
      <c r="CH19" s="182"/>
      <c r="CI19" s="182"/>
      <c r="CJ19" s="182">
        <f t="shared" ref="CJ19:CJ31" si="11">+IF(I19="","",IF(AND($BL$9="DTS - 4",Z19&gt;20,V19&gt;10),"-",IF(AND($BL$9="DTS - 4",AI19&gt;35,BJ19&gt;20),"-",IF(V19&gt;=12,"-",IF(E19&lt;=$BC$8,"-",IF(BJ19&gt;30,"-",IF(BN19&gt;=34,"-",(0.65*AM19*0.4*$CD$9*CF19))))))))</f>
        <v>8.9190009999999997</v>
      </c>
      <c r="CK19" s="182"/>
      <c r="CL19" s="182"/>
      <c r="CM19" s="183"/>
      <c r="CN19" s="178">
        <f>IF(I19="","",IF(AND($BL$9="DTS - 4",Z19&gt;20,V19&gt;10),"-",IF(AND($BL$9="DTS - 4",AI19&gt;35,BJ19&gt;20),"-",IF(V19&gt;=12,"-",IF(E19&lt;=$BC$8,"-",IF(BJ19&gt;30,"-",IF(BN19&gt;=34,"-",ROUNDUP((CB19/CJ19),2))))))))</f>
        <v>0.74</v>
      </c>
      <c r="CO19" s="157"/>
      <c r="CP19" s="157"/>
      <c r="CQ19" s="158"/>
      <c r="CR19" s="182" t="str">
        <f t="shared" si="0"/>
        <v>Sıvılaşma Beklenir</v>
      </c>
      <c r="CS19" s="182"/>
      <c r="CT19" s="182"/>
      <c r="CU19" s="182"/>
      <c r="CV19" s="182"/>
      <c r="CW19" s="182"/>
      <c r="CX19" s="182"/>
      <c r="CY19" s="182"/>
      <c r="CZ19" s="182"/>
      <c r="DA19" s="182"/>
      <c r="DB19" s="183"/>
      <c r="DC19" s="156">
        <f t="shared" ref="DC19:DC31" si="12">IF(E19="","",IF(CN19&gt;1,"-",IF(E20="",($E$33-E19)+((E19-E18)/2),IF(AND(DT18=0,$BC$8&lt;E19,$BC$8&gt;=E18),((E20-E19)/2)+(E19-$BC$8),((E20-E19)/2)+((E19-E18)/2)))))</f>
        <v>0.79999999999999993</v>
      </c>
      <c r="DD19" s="157"/>
      <c r="DE19" s="157"/>
      <c r="DF19" s="158"/>
      <c r="DG19" s="178">
        <f t="shared" ref="DG19:DG31" si="13">+IF(E19="","",IF(OR((E19&gt;20),(CN19&gt;1)),"-",IF(CN19&gt;=1,"-",10-(0.5*(((E19-E18)/2)+E18)))))</f>
        <v>8.9</v>
      </c>
      <c r="DH19" s="157"/>
      <c r="DI19" s="157"/>
      <c r="DJ19" s="157"/>
      <c r="DK19" s="162">
        <f t="shared" ref="DK19:DK31" si="14">+IF(E19="","",IF(CN19="-","-",IF(OR((E19&gt;20),(CN19&gt;=1)),"-",(1-CN19))))</f>
        <v>0.26</v>
      </c>
      <c r="DL19" s="157"/>
      <c r="DM19" s="157"/>
      <c r="DN19" s="158"/>
      <c r="DO19" s="162">
        <f>+IF(E19="","",IF(CN19="-","-",IF(OR((E19&gt;20),(CN19&gt;=1)),"-",DK19*DG19*DC19)))</f>
        <v>1.8512</v>
      </c>
      <c r="DP19" s="157"/>
      <c r="DQ19" s="157"/>
      <c r="DR19" s="157"/>
      <c r="DS19" s="163"/>
      <c r="DT19" s="156">
        <f t="shared" ref="DT19:DT31" si="15">IF(E19="","",IF(CN19="-","-",IF(CN19&gt;1.411,"-",IF(E20="",($E$33-E19)+((E19-E18)/2),IF(AND(DT18=0,$BC$8&lt;E19,$BC$8&gt;=E18),((E20-E19)/2)+(E19-$BC$8),((E20-E19)/2)+((E19-E18)/2))))))</f>
        <v>0.79999999999999993</v>
      </c>
      <c r="DU19" s="157"/>
      <c r="DV19" s="157"/>
      <c r="DW19" s="158"/>
      <c r="DX19" s="162">
        <f t="shared" ref="DX19:DX31" si="16">+IF(E19="","",IF(OR((E19&gt;20),(CN19&gt;1.411)),"-",10-(0.5*(((E19-E18)/2)+E18))))</f>
        <v>8.9</v>
      </c>
      <c r="DY19" s="157"/>
      <c r="DZ19" s="157"/>
      <c r="EA19" s="158"/>
      <c r="EB19" s="162">
        <f t="shared" ref="EB19:EB31" si="17">+IF(E19="","",IF(CN19="-","-",IF(OR((E19&gt;20),(CN19&gt;1.411)),"-",(1/(1+(CN19/0.96)^4.5)))))</f>
        <v>0.76337520956611582</v>
      </c>
      <c r="EC19" s="157"/>
      <c r="ED19" s="157"/>
      <c r="EE19" s="158"/>
      <c r="EF19" s="162">
        <f t="shared" ref="EF19:EF31" si="18">+IF(E19="","",IF(CN19="-","-",IF(E19&gt;0,IFERROR(EB19*DX19*DT19,"-"))))</f>
        <v>5.4352314921107441</v>
      </c>
      <c r="EG19" s="157"/>
      <c r="EH19" s="157"/>
      <c r="EI19" s="157"/>
      <c r="EJ19" s="175"/>
      <c r="EV19" s="50"/>
      <c r="EW19" s="50"/>
      <c r="EX19" s="50"/>
      <c r="EY19" s="24"/>
      <c r="HM19" s="221">
        <v>0.85</v>
      </c>
      <c r="HN19" s="221"/>
      <c r="HO19" s="222"/>
      <c r="HP19" s="221">
        <v>1</v>
      </c>
      <c r="HQ19" s="221"/>
      <c r="HR19" s="222"/>
      <c r="HS19" s="52">
        <f t="shared" si="1"/>
        <v>1.4724841726359787</v>
      </c>
      <c r="HT19" s="53"/>
      <c r="HU19" s="53">
        <v>9</v>
      </c>
      <c r="HV19" s="53"/>
      <c r="HW19" s="53"/>
      <c r="HX19" s="53"/>
      <c r="HY19" s="54">
        <v>48</v>
      </c>
    </row>
    <row r="20" spans="2:233" ht="24.95" customHeight="1">
      <c r="B20" s="312" t="s">
        <v>48</v>
      </c>
      <c r="C20" s="313"/>
      <c r="D20" s="313"/>
      <c r="E20" s="198">
        <v>3.4</v>
      </c>
      <c r="F20" s="199"/>
      <c r="G20" s="199"/>
      <c r="H20" s="200"/>
      <c r="I20" s="208">
        <v>5</v>
      </c>
      <c r="J20" s="208"/>
      <c r="K20" s="208"/>
      <c r="L20" s="206" t="s">
        <v>74</v>
      </c>
      <c r="M20" s="207"/>
      <c r="N20" s="207"/>
      <c r="O20" s="207"/>
      <c r="P20" s="207"/>
      <c r="Q20" s="198" t="s">
        <v>113</v>
      </c>
      <c r="R20" s="199"/>
      <c r="S20" s="199"/>
      <c r="T20" s="199"/>
      <c r="U20" s="200"/>
      <c r="V20" s="201"/>
      <c r="W20" s="202"/>
      <c r="X20" s="202"/>
      <c r="Y20" s="203"/>
      <c r="Z20" s="201"/>
      <c r="AA20" s="202"/>
      <c r="AB20" s="203"/>
      <c r="AC20" s="201">
        <v>19</v>
      </c>
      <c r="AD20" s="202"/>
      <c r="AE20" s="203"/>
      <c r="AF20" s="201">
        <v>20</v>
      </c>
      <c r="AG20" s="202"/>
      <c r="AH20" s="203"/>
      <c r="AI20" s="204">
        <v>1</v>
      </c>
      <c r="AJ20" s="205"/>
      <c r="AK20" s="205"/>
      <c r="AL20" s="205"/>
      <c r="AM20" s="314">
        <f t="shared" si="3"/>
        <v>66</v>
      </c>
      <c r="AN20" s="185"/>
      <c r="AO20" s="185"/>
      <c r="AP20" s="185"/>
      <c r="AQ20" s="185">
        <f>(IF(E20="","",(AM20-MAX(E20-$BC$8,0)*9.81)))</f>
        <v>52.265999999999998</v>
      </c>
      <c r="AR20" s="185"/>
      <c r="AS20" s="185"/>
      <c r="AT20" s="185"/>
      <c r="AU20" s="162">
        <f t="shared" si="4"/>
        <v>1.3527863819884156</v>
      </c>
      <c r="AV20" s="157"/>
      <c r="AW20" s="158"/>
      <c r="AX20" s="186">
        <f t="shared" si="5"/>
        <v>0.85</v>
      </c>
      <c r="AY20" s="187"/>
      <c r="AZ20" s="188"/>
      <c r="BA20" s="182">
        <f t="shared" si="6"/>
        <v>1</v>
      </c>
      <c r="BB20" s="182"/>
      <c r="BC20" s="182"/>
      <c r="BD20" s="182">
        <f t="shared" si="7"/>
        <v>1</v>
      </c>
      <c r="BE20" s="182"/>
      <c r="BF20" s="182"/>
      <c r="BG20" s="182">
        <f t="shared" si="2"/>
        <v>1</v>
      </c>
      <c r="BH20" s="182"/>
      <c r="BI20" s="182"/>
      <c r="BJ20" s="189">
        <f t="shared" si="8"/>
        <v>5.7493421234507665</v>
      </c>
      <c r="BK20" s="189"/>
      <c r="BL20" s="189"/>
      <c r="BM20" s="189"/>
      <c r="BN20" s="190">
        <f>IF(E20="","",IF(E20&lt;=$BC$8,"-",IF(BJ20="-","-",IF(BJ20="&gt;30","-",IF(AI20&lt;=5,BJ20,IF(AI20&gt;=35,(5+1.2*BJ20),((EXP(1.76-(190/(AI20^2))))+((0.99+(AI20^1.5)/1000)*BJ20))))))))</f>
        <v>5.7493421234507665</v>
      </c>
      <c r="BO20" s="191"/>
      <c r="BP20" s="191"/>
      <c r="BQ20" s="191"/>
      <c r="BR20" s="191"/>
      <c r="BS20" s="192"/>
      <c r="BT20" s="193">
        <f t="shared" si="9"/>
        <v>7.7744808142079944E-2</v>
      </c>
      <c r="BU20" s="194"/>
      <c r="BV20" s="194"/>
      <c r="BW20" s="194"/>
      <c r="BX20" s="194"/>
      <c r="BY20" s="162">
        <f t="shared" ref="BY20:BY31" si="19">IF(I20="","",IF(AND($BL$9="DTS - 4",Z20&gt;20,V20&gt;10),"-",IF(AND($BL$9="DTS - 4",AI20&gt;35,BJ20&gt;20),"-",IF(V20&gt;=12,"-",IF(E20&lt;=$BC$8,"-",IF(BJ20&gt;30,"-",IF(BN20&gt;=34,"-",((10^2.24/$AU$9^2.56)))))))))</f>
        <v>1.4419221291650139</v>
      </c>
      <c r="BZ20" s="157"/>
      <c r="CA20" s="158"/>
      <c r="CB20" s="182">
        <f t="shared" ref="CB20:CB22" si="20">+IF(I20="","",IF(AND($BL$9="DTS - 4",Z20&gt;20,V20&gt;10),"-",IF(AND($BL$9="DTS - 4",AI20&gt;35,BJ20&gt;20),"-",IF(V20&gt;=12,"-",IF(E20&lt;=$BC$8,"-",IF(BJ20&gt;30,"-",IF(BN20&gt;=34,"-",(PRODUCT(BT20,BY20,AQ20)))))))))</f>
        <v>5.8591210041337201</v>
      </c>
      <c r="CC20" s="182"/>
      <c r="CD20" s="182"/>
      <c r="CE20" s="183"/>
      <c r="CF20" s="184">
        <f t="shared" si="10"/>
        <v>0.97399000000000002</v>
      </c>
      <c r="CG20" s="182"/>
      <c r="CH20" s="182"/>
      <c r="CI20" s="182"/>
      <c r="CJ20" s="182">
        <f t="shared" si="11"/>
        <v>11.699567879999998</v>
      </c>
      <c r="CK20" s="182"/>
      <c r="CL20" s="182"/>
      <c r="CM20" s="183"/>
      <c r="CN20" s="178">
        <f>IF(I20="","",IF(AND($BL$9="DTS - 4",Z20&gt;20,V20&gt;10),"-",IF(AND($BL$9="DTS - 4",AI20&gt;35,BJ20&gt;20),"-",IF(V20&gt;=12,"-",IF(E20&lt;=$BC$8,"-",IF(BJ20&gt;30,"-",IF(BN20&gt;=34,"-",ROUNDUP((CB20/CJ20),2))))))))</f>
        <v>0.51</v>
      </c>
      <c r="CO20" s="157"/>
      <c r="CP20" s="157"/>
      <c r="CQ20" s="158"/>
      <c r="CR20" s="182" t="str">
        <f t="shared" si="0"/>
        <v>Sıvılaşma Beklenir</v>
      </c>
      <c r="CS20" s="182"/>
      <c r="CT20" s="182"/>
      <c r="CU20" s="182"/>
      <c r="CV20" s="182"/>
      <c r="CW20" s="182"/>
      <c r="CX20" s="182"/>
      <c r="CY20" s="182"/>
      <c r="CZ20" s="182"/>
      <c r="DA20" s="182"/>
      <c r="DB20" s="183"/>
      <c r="DC20" s="156">
        <f t="shared" si="12"/>
        <v>0.74999999999999978</v>
      </c>
      <c r="DD20" s="157"/>
      <c r="DE20" s="157"/>
      <c r="DF20" s="158"/>
      <c r="DG20" s="178">
        <f t="shared" si="13"/>
        <v>8.5</v>
      </c>
      <c r="DH20" s="157"/>
      <c r="DI20" s="157"/>
      <c r="DJ20" s="157"/>
      <c r="DK20" s="162">
        <f t="shared" si="14"/>
        <v>0.49</v>
      </c>
      <c r="DL20" s="157"/>
      <c r="DM20" s="157"/>
      <c r="DN20" s="158"/>
      <c r="DO20" s="162">
        <f t="shared" ref="DO20:DO31" si="21">+IF(E20="","",IF(CN20="-","-",IF(OR((E20&gt;20),(CN20&gt;=1)),"-",DK20*DG20*DC20)))</f>
        <v>3.1237499999999989</v>
      </c>
      <c r="DP20" s="157"/>
      <c r="DQ20" s="157"/>
      <c r="DR20" s="157"/>
      <c r="DS20" s="163"/>
      <c r="DT20" s="156">
        <f t="shared" si="15"/>
        <v>0.74999999999999978</v>
      </c>
      <c r="DU20" s="157"/>
      <c r="DV20" s="157"/>
      <c r="DW20" s="158"/>
      <c r="DX20" s="162">
        <f t="shared" si="16"/>
        <v>8.5</v>
      </c>
      <c r="DY20" s="157"/>
      <c r="DZ20" s="157"/>
      <c r="EA20" s="158"/>
      <c r="EB20" s="162">
        <f t="shared" si="17"/>
        <v>0.94512978121806879</v>
      </c>
      <c r="EC20" s="157"/>
      <c r="ED20" s="157"/>
      <c r="EE20" s="158"/>
      <c r="EF20" s="162">
        <f t="shared" si="18"/>
        <v>6.0252023552651863</v>
      </c>
      <c r="EG20" s="157"/>
      <c r="EH20" s="157"/>
      <c r="EI20" s="157"/>
      <c r="EJ20" s="175"/>
      <c r="EV20" s="50"/>
      <c r="EW20" s="50"/>
      <c r="EX20" s="50"/>
      <c r="EY20" s="24"/>
      <c r="GK20" s="39"/>
      <c r="GL20" s="39"/>
      <c r="GM20" s="39"/>
      <c r="GN20" s="39"/>
      <c r="GO20" s="39"/>
      <c r="GP20" s="39"/>
      <c r="GQ20" s="39"/>
      <c r="GR20" s="39"/>
      <c r="GS20" s="39"/>
      <c r="GT20" s="39"/>
      <c r="GU20" s="24"/>
      <c r="GV20" s="24"/>
      <c r="HM20" s="221">
        <v>0.95</v>
      </c>
      <c r="HN20" s="221"/>
      <c r="HO20" s="222"/>
      <c r="HS20" s="52">
        <f t="shared" si="1"/>
        <v>1.3527863819884156</v>
      </c>
      <c r="HT20" s="53"/>
      <c r="HU20" s="53">
        <v>9</v>
      </c>
      <c r="HV20" s="53"/>
      <c r="HW20" s="53"/>
      <c r="HX20" s="53"/>
      <c r="HY20" s="54">
        <v>48</v>
      </c>
    </row>
    <row r="21" spans="2:233" ht="24.95" customHeight="1">
      <c r="B21" s="312" t="s">
        <v>49</v>
      </c>
      <c r="C21" s="313"/>
      <c r="D21" s="313"/>
      <c r="E21" s="198">
        <v>4.0999999999999996</v>
      </c>
      <c r="F21" s="199"/>
      <c r="G21" s="199"/>
      <c r="H21" s="200"/>
      <c r="I21" s="208">
        <v>10</v>
      </c>
      <c r="J21" s="208"/>
      <c r="K21" s="208"/>
      <c r="L21" s="206" t="s">
        <v>39</v>
      </c>
      <c r="M21" s="207"/>
      <c r="N21" s="207"/>
      <c r="O21" s="207"/>
      <c r="P21" s="207"/>
      <c r="Q21" s="198" t="s">
        <v>113</v>
      </c>
      <c r="R21" s="199"/>
      <c r="S21" s="199"/>
      <c r="T21" s="199"/>
      <c r="U21" s="200"/>
      <c r="V21" s="201"/>
      <c r="W21" s="202"/>
      <c r="X21" s="202"/>
      <c r="Y21" s="203"/>
      <c r="Z21" s="201"/>
      <c r="AA21" s="202"/>
      <c r="AB21" s="203"/>
      <c r="AC21" s="201">
        <v>19</v>
      </c>
      <c r="AD21" s="202"/>
      <c r="AE21" s="203"/>
      <c r="AF21" s="201">
        <v>20</v>
      </c>
      <c r="AG21" s="202"/>
      <c r="AH21" s="203"/>
      <c r="AI21" s="204">
        <v>1</v>
      </c>
      <c r="AJ21" s="205"/>
      <c r="AK21" s="205"/>
      <c r="AL21" s="205"/>
      <c r="AM21" s="314">
        <f t="shared" si="3"/>
        <v>80</v>
      </c>
      <c r="AN21" s="185"/>
      <c r="AO21" s="185"/>
      <c r="AP21" s="185"/>
      <c r="AQ21" s="185">
        <f>(IF(E21="","",(AM21-MAX(E21-$BC$8,0)*9.81)))</f>
        <v>59.399000000000001</v>
      </c>
      <c r="AR21" s="185"/>
      <c r="AS21" s="185"/>
      <c r="AT21" s="185"/>
      <c r="AU21" s="162">
        <f t="shared" si="4"/>
        <v>1.268963960543058</v>
      </c>
      <c r="AV21" s="157"/>
      <c r="AW21" s="158"/>
      <c r="AX21" s="186">
        <f t="shared" si="5"/>
        <v>0.85</v>
      </c>
      <c r="AY21" s="187"/>
      <c r="AZ21" s="188"/>
      <c r="BA21" s="182">
        <f t="shared" si="6"/>
        <v>1</v>
      </c>
      <c r="BB21" s="182"/>
      <c r="BC21" s="182"/>
      <c r="BD21" s="182">
        <f t="shared" si="7"/>
        <v>1</v>
      </c>
      <c r="BE21" s="182"/>
      <c r="BF21" s="182"/>
      <c r="BG21" s="182">
        <f t="shared" si="2"/>
        <v>1</v>
      </c>
      <c r="BH21" s="182"/>
      <c r="BI21" s="182"/>
      <c r="BJ21" s="189">
        <f t="shared" si="8"/>
        <v>10.786193664615993</v>
      </c>
      <c r="BK21" s="189"/>
      <c r="BL21" s="189"/>
      <c r="BM21" s="189"/>
      <c r="BN21" s="190">
        <f t="shared" ref="BN21:BN31" si="22">IF(E21="","",IF(E21&lt;=$BC$8,"-",IF(BJ21="-","-",IF(BJ21="&gt;30","-",IF(AI21&lt;=5,BJ21,IF(AI21&gt;=35,(5+1.2*BJ21),((EXP(1.76-(190/(AI21^2))))+((0.99+(AI21^1.5)/1000)*BJ21))))))))</f>
        <v>10.786193664615993</v>
      </c>
      <c r="BO21" s="191"/>
      <c r="BP21" s="191"/>
      <c r="BQ21" s="191"/>
      <c r="BR21" s="191"/>
      <c r="BS21" s="192"/>
      <c r="BT21" s="193">
        <f t="shared" si="9"/>
        <v>0.12011533415920378</v>
      </c>
      <c r="BU21" s="194"/>
      <c r="BV21" s="194"/>
      <c r="BW21" s="194"/>
      <c r="BX21" s="194"/>
      <c r="BY21" s="162">
        <f t="shared" si="19"/>
        <v>1.4419221291650139</v>
      </c>
      <c r="BZ21" s="157"/>
      <c r="CA21" s="158"/>
      <c r="CB21" s="182">
        <f t="shared" si="20"/>
        <v>10.287726130588275</v>
      </c>
      <c r="CC21" s="182"/>
      <c r="CD21" s="182"/>
      <c r="CE21" s="183"/>
      <c r="CF21" s="184">
        <f t="shared" si="10"/>
        <v>0.96863500000000002</v>
      </c>
      <c r="CG21" s="182"/>
      <c r="CH21" s="182"/>
      <c r="CI21" s="182"/>
      <c r="CJ21" s="182">
        <f t="shared" si="11"/>
        <v>14.1033256</v>
      </c>
      <c r="CK21" s="182"/>
      <c r="CL21" s="182"/>
      <c r="CM21" s="183"/>
      <c r="CN21" s="178">
        <f t="shared" ref="CN21:CN30" si="23">IF(I21="","",IF(AND($BL$9="DTS - 4",Z21&gt;20,V21&gt;10),"-",IF(AND($BL$9="DTS - 4",AI21&gt;35,BJ21&gt;20),"-",IF(V21&gt;=12,"-",IF(E21&lt;=$BC$8,"-",IF(BJ21&gt;30,"-",IF(BN21&gt;=34,"-",ROUNDUP((CB21/CJ21),2))))))))</f>
        <v>0.73</v>
      </c>
      <c r="CO21" s="157"/>
      <c r="CP21" s="157"/>
      <c r="CQ21" s="158"/>
      <c r="CR21" s="182" t="str">
        <f t="shared" si="0"/>
        <v>Sıvılaşma Beklenir</v>
      </c>
      <c r="CS21" s="182"/>
      <c r="CT21" s="182"/>
      <c r="CU21" s="182"/>
      <c r="CV21" s="182"/>
      <c r="CW21" s="182"/>
      <c r="CX21" s="182"/>
      <c r="CY21" s="182"/>
      <c r="CZ21" s="182"/>
      <c r="DA21" s="182"/>
      <c r="DB21" s="183"/>
      <c r="DC21" s="156">
        <f t="shared" si="12"/>
        <v>0.75000000000000022</v>
      </c>
      <c r="DD21" s="157"/>
      <c r="DE21" s="157"/>
      <c r="DF21" s="158"/>
      <c r="DG21" s="178">
        <f t="shared" si="13"/>
        <v>8.125</v>
      </c>
      <c r="DH21" s="157"/>
      <c r="DI21" s="157"/>
      <c r="DJ21" s="157"/>
      <c r="DK21" s="162">
        <f t="shared" si="14"/>
        <v>0.27</v>
      </c>
      <c r="DL21" s="157"/>
      <c r="DM21" s="157"/>
      <c r="DN21" s="158"/>
      <c r="DO21" s="162">
        <f t="shared" si="21"/>
        <v>1.6453125000000006</v>
      </c>
      <c r="DP21" s="157"/>
      <c r="DQ21" s="157"/>
      <c r="DR21" s="157"/>
      <c r="DS21" s="163"/>
      <c r="DT21" s="156">
        <f t="shared" si="15"/>
        <v>0.75000000000000022</v>
      </c>
      <c r="DU21" s="157"/>
      <c r="DV21" s="157"/>
      <c r="DW21" s="158"/>
      <c r="DX21" s="162">
        <f t="shared" si="16"/>
        <v>8.125</v>
      </c>
      <c r="DY21" s="157"/>
      <c r="DZ21" s="157"/>
      <c r="EA21" s="158"/>
      <c r="EB21" s="162">
        <f t="shared" si="17"/>
        <v>0.77425572420004007</v>
      </c>
      <c r="EC21" s="157"/>
      <c r="ED21" s="157"/>
      <c r="EE21" s="158"/>
      <c r="EF21" s="162">
        <f t="shared" si="18"/>
        <v>4.7181208193439952</v>
      </c>
      <c r="EG21" s="157"/>
      <c r="EH21" s="157"/>
      <c r="EI21" s="157"/>
      <c r="EJ21" s="175"/>
      <c r="EV21" s="50"/>
      <c r="EW21" s="50"/>
      <c r="EX21" s="50"/>
      <c r="EY21" s="24"/>
      <c r="GK21" s="39"/>
      <c r="GL21" s="39"/>
      <c r="GM21" s="39"/>
      <c r="GN21" s="39"/>
      <c r="GO21" s="39"/>
      <c r="GP21" s="39"/>
      <c r="GQ21" s="39"/>
      <c r="GR21" s="39"/>
      <c r="GS21" s="39"/>
      <c r="GT21" s="39"/>
      <c r="GU21" s="24"/>
      <c r="GV21" s="24"/>
      <c r="HM21" s="221">
        <v>1</v>
      </c>
      <c r="HN21" s="221"/>
      <c r="HO21" s="222"/>
      <c r="HS21" s="52">
        <f t="shared" si="1"/>
        <v>1.268963960543058</v>
      </c>
      <c r="HT21" s="53"/>
      <c r="HU21" s="53">
        <v>9</v>
      </c>
      <c r="HV21" s="53"/>
      <c r="HW21" s="53"/>
      <c r="HX21" s="53"/>
      <c r="HY21" s="54">
        <v>48</v>
      </c>
    </row>
    <row r="22" spans="2:233" ht="24.95" customHeight="1">
      <c r="B22" s="312" t="s">
        <v>50</v>
      </c>
      <c r="C22" s="313"/>
      <c r="D22" s="313"/>
      <c r="E22" s="198">
        <v>4.9000000000000004</v>
      </c>
      <c r="F22" s="199"/>
      <c r="G22" s="199"/>
      <c r="H22" s="200"/>
      <c r="I22" s="208">
        <v>10</v>
      </c>
      <c r="J22" s="208"/>
      <c r="K22" s="208"/>
      <c r="L22" s="206" t="s">
        <v>95</v>
      </c>
      <c r="M22" s="207"/>
      <c r="N22" s="207"/>
      <c r="O22" s="207"/>
      <c r="P22" s="207"/>
      <c r="Q22" s="198" t="s">
        <v>113</v>
      </c>
      <c r="R22" s="199"/>
      <c r="S22" s="199"/>
      <c r="T22" s="199"/>
      <c r="U22" s="200"/>
      <c r="V22" s="201"/>
      <c r="W22" s="202"/>
      <c r="X22" s="202"/>
      <c r="Y22" s="203"/>
      <c r="Z22" s="201"/>
      <c r="AA22" s="202"/>
      <c r="AB22" s="203"/>
      <c r="AC22" s="201">
        <v>19</v>
      </c>
      <c r="AD22" s="202"/>
      <c r="AE22" s="203"/>
      <c r="AF22" s="201">
        <v>20</v>
      </c>
      <c r="AG22" s="202"/>
      <c r="AH22" s="203"/>
      <c r="AI22" s="204">
        <v>1</v>
      </c>
      <c r="AJ22" s="205"/>
      <c r="AK22" s="205"/>
      <c r="AL22" s="205"/>
      <c r="AM22" s="314">
        <f t="shared" si="3"/>
        <v>96</v>
      </c>
      <c r="AN22" s="185"/>
      <c r="AO22" s="185"/>
      <c r="AP22" s="185"/>
      <c r="AQ22" s="185">
        <f t="shared" ref="AQ22:AQ31" si="24">(IF(E22="","",(AM22-MAX(E22-$BC$8,0)*9.81)))</f>
        <v>67.550999999999988</v>
      </c>
      <c r="AR22" s="185"/>
      <c r="AS22" s="185"/>
      <c r="AT22" s="185"/>
      <c r="AU22" s="162">
        <f t="shared" si="4"/>
        <v>1.1899342458087725</v>
      </c>
      <c r="AV22" s="157"/>
      <c r="AW22" s="158"/>
      <c r="AX22" s="186">
        <f t="shared" si="5"/>
        <v>0.95</v>
      </c>
      <c r="AY22" s="187"/>
      <c r="AZ22" s="188"/>
      <c r="BA22" s="182">
        <f t="shared" si="6"/>
        <v>1</v>
      </c>
      <c r="BB22" s="182"/>
      <c r="BC22" s="182"/>
      <c r="BD22" s="182">
        <f t="shared" si="7"/>
        <v>1</v>
      </c>
      <c r="BE22" s="182"/>
      <c r="BF22" s="182"/>
      <c r="BG22" s="182">
        <f t="shared" si="2"/>
        <v>1</v>
      </c>
      <c r="BH22" s="182"/>
      <c r="BI22" s="182"/>
      <c r="BJ22" s="189">
        <f t="shared" si="8"/>
        <v>11.304375335183337</v>
      </c>
      <c r="BK22" s="189"/>
      <c r="BL22" s="189"/>
      <c r="BM22" s="189"/>
      <c r="BN22" s="190">
        <f t="shared" si="22"/>
        <v>11.304375335183337</v>
      </c>
      <c r="BO22" s="191"/>
      <c r="BP22" s="191"/>
      <c r="BQ22" s="191"/>
      <c r="BR22" s="191"/>
      <c r="BS22" s="192"/>
      <c r="BT22" s="193">
        <f t="shared" si="9"/>
        <v>0.12479924501875286</v>
      </c>
      <c r="BU22" s="194"/>
      <c r="BV22" s="194"/>
      <c r="BW22" s="194"/>
      <c r="BX22" s="194"/>
      <c r="BY22" s="162">
        <f t="shared" si="19"/>
        <v>1.4419221291650139</v>
      </c>
      <c r="BZ22" s="157"/>
      <c r="CA22" s="158"/>
      <c r="CB22" s="182">
        <f t="shared" si="20"/>
        <v>12.155856024402656</v>
      </c>
      <c r="CC22" s="182"/>
      <c r="CD22" s="182"/>
      <c r="CE22" s="183"/>
      <c r="CF22" s="184">
        <f t="shared" si="10"/>
        <v>0.96251500000000001</v>
      </c>
      <c r="CG22" s="182"/>
      <c r="CH22" s="182"/>
      <c r="CI22" s="182"/>
      <c r="CJ22" s="182">
        <f t="shared" si="11"/>
        <v>16.817062080000003</v>
      </c>
      <c r="CK22" s="182"/>
      <c r="CL22" s="182"/>
      <c r="CM22" s="183"/>
      <c r="CN22" s="178">
        <f t="shared" si="23"/>
        <v>0.73</v>
      </c>
      <c r="CO22" s="157"/>
      <c r="CP22" s="157"/>
      <c r="CQ22" s="158"/>
      <c r="CR22" s="182" t="str">
        <f t="shared" si="0"/>
        <v>Sıvılaşma Beklenir</v>
      </c>
      <c r="CS22" s="182"/>
      <c r="CT22" s="182"/>
      <c r="CU22" s="182"/>
      <c r="CV22" s="182"/>
      <c r="CW22" s="182"/>
      <c r="CX22" s="182"/>
      <c r="CY22" s="182"/>
      <c r="CZ22" s="182"/>
      <c r="DA22" s="182"/>
      <c r="DB22" s="183"/>
      <c r="DC22" s="156">
        <f t="shared" si="12"/>
        <v>0.75</v>
      </c>
      <c r="DD22" s="157"/>
      <c r="DE22" s="157"/>
      <c r="DF22" s="158"/>
      <c r="DG22" s="178">
        <f t="shared" si="13"/>
        <v>7.75</v>
      </c>
      <c r="DH22" s="157"/>
      <c r="DI22" s="157"/>
      <c r="DJ22" s="157"/>
      <c r="DK22" s="162">
        <f t="shared" si="14"/>
        <v>0.27</v>
      </c>
      <c r="DL22" s="157"/>
      <c r="DM22" s="157"/>
      <c r="DN22" s="158"/>
      <c r="DO22" s="162">
        <f t="shared" si="21"/>
        <v>1.5693750000000002</v>
      </c>
      <c r="DP22" s="157"/>
      <c r="DQ22" s="157"/>
      <c r="DR22" s="157"/>
      <c r="DS22" s="163"/>
      <c r="DT22" s="156">
        <f t="shared" si="15"/>
        <v>0.75</v>
      </c>
      <c r="DU22" s="157"/>
      <c r="DV22" s="157"/>
      <c r="DW22" s="158"/>
      <c r="DX22" s="162">
        <f t="shared" si="16"/>
        <v>7.75</v>
      </c>
      <c r="DY22" s="157"/>
      <c r="DZ22" s="157"/>
      <c r="EA22" s="158"/>
      <c r="EB22" s="162">
        <f t="shared" si="17"/>
        <v>0.77425572420004007</v>
      </c>
      <c r="EC22" s="157"/>
      <c r="ED22" s="157"/>
      <c r="EE22" s="158"/>
      <c r="EF22" s="162">
        <f t="shared" si="18"/>
        <v>4.5003613969127336</v>
      </c>
      <c r="EG22" s="157"/>
      <c r="EH22" s="157"/>
      <c r="EI22" s="157"/>
      <c r="EJ22" s="175"/>
      <c r="EV22" s="50"/>
      <c r="EW22" s="50"/>
      <c r="EX22" s="50"/>
      <c r="EY22" s="24"/>
      <c r="GK22" s="39"/>
      <c r="GL22" s="39"/>
      <c r="GM22" s="39"/>
      <c r="GN22" s="39"/>
      <c r="GO22" s="39"/>
      <c r="GP22" s="39"/>
      <c r="GQ22" s="39"/>
      <c r="GR22" s="39"/>
      <c r="GS22" s="39"/>
      <c r="GT22" s="39"/>
      <c r="GU22" s="24"/>
      <c r="GV22" s="24"/>
      <c r="HS22" s="52">
        <f t="shared" si="1"/>
        <v>1.1899342458087725</v>
      </c>
      <c r="HT22" s="53"/>
      <c r="HU22" s="53">
        <v>14</v>
      </c>
      <c r="HV22" s="53"/>
      <c r="HW22" s="53"/>
      <c r="HX22" s="53"/>
      <c r="HY22" s="54">
        <v>48</v>
      </c>
    </row>
    <row r="23" spans="2:233" ht="24.95" customHeight="1">
      <c r="B23" s="312" t="s">
        <v>51</v>
      </c>
      <c r="C23" s="313"/>
      <c r="D23" s="313"/>
      <c r="E23" s="198">
        <v>5.6</v>
      </c>
      <c r="F23" s="199"/>
      <c r="G23" s="199"/>
      <c r="H23" s="200"/>
      <c r="I23" s="208">
        <v>10</v>
      </c>
      <c r="J23" s="208"/>
      <c r="K23" s="208"/>
      <c r="L23" s="206" t="s">
        <v>37</v>
      </c>
      <c r="M23" s="207"/>
      <c r="N23" s="207"/>
      <c r="O23" s="207"/>
      <c r="P23" s="207"/>
      <c r="Q23" s="198" t="s">
        <v>113</v>
      </c>
      <c r="R23" s="199"/>
      <c r="S23" s="199"/>
      <c r="T23" s="199"/>
      <c r="U23" s="200"/>
      <c r="V23" s="201"/>
      <c r="W23" s="202"/>
      <c r="X23" s="202"/>
      <c r="Y23" s="203"/>
      <c r="Z23" s="201"/>
      <c r="AA23" s="202"/>
      <c r="AB23" s="203"/>
      <c r="AC23" s="201">
        <v>19</v>
      </c>
      <c r="AD23" s="202"/>
      <c r="AE23" s="203"/>
      <c r="AF23" s="201">
        <v>20</v>
      </c>
      <c r="AG23" s="202"/>
      <c r="AH23" s="203"/>
      <c r="AI23" s="204">
        <v>1</v>
      </c>
      <c r="AJ23" s="205"/>
      <c r="AK23" s="205"/>
      <c r="AL23" s="205"/>
      <c r="AM23" s="314">
        <f t="shared" si="3"/>
        <v>110</v>
      </c>
      <c r="AN23" s="185"/>
      <c r="AO23" s="185"/>
      <c r="AP23" s="185"/>
      <c r="AQ23" s="185">
        <f t="shared" si="24"/>
        <v>74.683999999999997</v>
      </c>
      <c r="AR23" s="185"/>
      <c r="AS23" s="185"/>
      <c r="AT23" s="185"/>
      <c r="AU23" s="162">
        <f t="shared" si="4"/>
        <v>1.1316837234479356</v>
      </c>
      <c r="AV23" s="157"/>
      <c r="AW23" s="158"/>
      <c r="AX23" s="186">
        <f t="shared" si="5"/>
        <v>0.95</v>
      </c>
      <c r="AY23" s="187"/>
      <c r="AZ23" s="188"/>
      <c r="BA23" s="182">
        <f t="shared" si="6"/>
        <v>1</v>
      </c>
      <c r="BB23" s="182"/>
      <c r="BC23" s="182"/>
      <c r="BD23" s="182">
        <f t="shared" si="7"/>
        <v>1</v>
      </c>
      <c r="BE23" s="182"/>
      <c r="BF23" s="182"/>
      <c r="BG23" s="182">
        <f t="shared" si="2"/>
        <v>1</v>
      </c>
      <c r="BH23" s="182"/>
      <c r="BI23" s="182"/>
      <c r="BJ23" s="189">
        <f t="shared" si="8"/>
        <v>10.750995372755387</v>
      </c>
      <c r="BK23" s="189"/>
      <c r="BL23" s="189"/>
      <c r="BM23" s="189"/>
      <c r="BN23" s="190">
        <f t="shared" si="22"/>
        <v>10.750995372755387</v>
      </c>
      <c r="BO23" s="191"/>
      <c r="BP23" s="191"/>
      <c r="BQ23" s="191"/>
      <c r="BR23" s="191"/>
      <c r="BS23" s="192"/>
      <c r="BT23" s="193">
        <f t="shared" si="9"/>
        <v>0.11979927595146228</v>
      </c>
      <c r="BU23" s="194"/>
      <c r="BV23" s="194"/>
      <c r="BW23" s="194"/>
      <c r="BX23" s="194"/>
      <c r="BY23" s="162">
        <f t="shared" si="19"/>
        <v>1.4419221291650139</v>
      </c>
      <c r="BZ23" s="157"/>
      <c r="CA23" s="158"/>
      <c r="CB23" s="182">
        <f t="shared" ref="CB23:CB31" si="25">+IF(I23="","",IF(AND($BL$9="DTS - 4",Z23&gt;20,V23&gt;10),"-",IF(AND($BL$9="DTS - 4",AI23&gt;35,BJ23&gt;20),"-",IF(V23&gt;=12,"-",IF(E23&lt;=$BC$8,"-",IF(BJ23&gt;30,"-",IF(BN23&gt;=34,"-",(PRODUCT(BT23,BY23,AQ23)))))))))</f>
        <v>12.901005801178419</v>
      </c>
      <c r="CC23" s="182"/>
      <c r="CD23" s="182"/>
      <c r="CE23" s="183"/>
      <c r="CF23" s="184">
        <f t="shared" si="10"/>
        <v>0.95716000000000001</v>
      </c>
      <c r="CG23" s="182"/>
      <c r="CH23" s="182"/>
      <c r="CI23" s="182"/>
      <c r="CJ23" s="182">
        <f t="shared" si="11"/>
        <v>19.162343199999999</v>
      </c>
      <c r="CK23" s="182"/>
      <c r="CL23" s="182"/>
      <c r="CM23" s="183"/>
      <c r="CN23" s="178">
        <f t="shared" si="23"/>
        <v>0.68</v>
      </c>
      <c r="CO23" s="157"/>
      <c r="CP23" s="157"/>
      <c r="CQ23" s="158"/>
      <c r="CR23" s="182" t="str">
        <f t="shared" si="0"/>
        <v>Sıvılaşma Beklenir</v>
      </c>
      <c r="CS23" s="182"/>
      <c r="CT23" s="182"/>
      <c r="CU23" s="182"/>
      <c r="CV23" s="182"/>
      <c r="CW23" s="182"/>
      <c r="CX23" s="182"/>
      <c r="CY23" s="182"/>
      <c r="CZ23" s="182"/>
      <c r="DA23" s="182"/>
      <c r="DB23" s="183"/>
      <c r="DC23" s="156">
        <f t="shared" si="12"/>
        <v>0.75</v>
      </c>
      <c r="DD23" s="157"/>
      <c r="DE23" s="157"/>
      <c r="DF23" s="158"/>
      <c r="DG23" s="178">
        <f t="shared" si="13"/>
        <v>7.375</v>
      </c>
      <c r="DH23" s="157"/>
      <c r="DI23" s="157"/>
      <c r="DJ23" s="157"/>
      <c r="DK23" s="162">
        <f t="shared" si="14"/>
        <v>0.31999999999999995</v>
      </c>
      <c r="DL23" s="157"/>
      <c r="DM23" s="157"/>
      <c r="DN23" s="158"/>
      <c r="DO23" s="162">
        <f t="shared" si="21"/>
        <v>1.7699999999999996</v>
      </c>
      <c r="DP23" s="157"/>
      <c r="DQ23" s="157"/>
      <c r="DR23" s="157"/>
      <c r="DS23" s="163"/>
      <c r="DT23" s="156">
        <f t="shared" si="15"/>
        <v>0.75</v>
      </c>
      <c r="DU23" s="157"/>
      <c r="DV23" s="157"/>
      <c r="DW23" s="158"/>
      <c r="DX23" s="162">
        <f t="shared" si="16"/>
        <v>7.375</v>
      </c>
      <c r="DY23" s="157"/>
      <c r="DZ23" s="157"/>
      <c r="EA23" s="158"/>
      <c r="EB23" s="162">
        <f t="shared" si="17"/>
        <v>0.8251709861622023</v>
      </c>
      <c r="EC23" s="157"/>
      <c r="ED23" s="157"/>
      <c r="EE23" s="158"/>
      <c r="EF23" s="162">
        <f t="shared" si="18"/>
        <v>4.5642270172096815</v>
      </c>
      <c r="EG23" s="157"/>
      <c r="EH23" s="157"/>
      <c r="EI23" s="157"/>
      <c r="EJ23" s="175"/>
      <c r="EV23" s="50"/>
      <c r="EW23" s="50"/>
      <c r="EX23" s="50"/>
      <c r="EY23" s="24"/>
      <c r="GK23" s="39"/>
      <c r="GL23" s="39"/>
      <c r="GM23" s="39"/>
      <c r="GN23" s="39"/>
      <c r="GO23" s="39"/>
      <c r="GP23" s="39"/>
      <c r="GQ23" s="39"/>
      <c r="GR23" s="39"/>
      <c r="GS23" s="39"/>
      <c r="GT23" s="39"/>
      <c r="GU23" s="24"/>
      <c r="GV23" s="24"/>
      <c r="HS23" s="52">
        <f t="shared" si="1"/>
        <v>1.1316837234479356</v>
      </c>
      <c r="HT23" s="53"/>
      <c r="HU23" s="53">
        <v>16</v>
      </c>
      <c r="HV23" s="53"/>
      <c r="HW23" s="53"/>
      <c r="HX23" s="53"/>
      <c r="HY23" s="54">
        <v>48</v>
      </c>
    </row>
    <row r="24" spans="2:233" ht="24.95" customHeight="1">
      <c r="B24" s="312" t="s">
        <v>52</v>
      </c>
      <c r="C24" s="313"/>
      <c r="D24" s="313"/>
      <c r="E24" s="198">
        <v>6.4</v>
      </c>
      <c r="F24" s="199"/>
      <c r="G24" s="199"/>
      <c r="H24" s="200"/>
      <c r="I24" s="208">
        <v>15</v>
      </c>
      <c r="J24" s="208"/>
      <c r="K24" s="208"/>
      <c r="L24" s="206" t="s">
        <v>74</v>
      </c>
      <c r="M24" s="207"/>
      <c r="N24" s="207"/>
      <c r="O24" s="207"/>
      <c r="P24" s="207"/>
      <c r="Q24" s="198" t="s">
        <v>113</v>
      </c>
      <c r="R24" s="199"/>
      <c r="S24" s="199"/>
      <c r="T24" s="199"/>
      <c r="U24" s="200"/>
      <c r="V24" s="201"/>
      <c r="W24" s="202"/>
      <c r="X24" s="202"/>
      <c r="Y24" s="203"/>
      <c r="Z24" s="201"/>
      <c r="AA24" s="202"/>
      <c r="AB24" s="203"/>
      <c r="AC24" s="201">
        <v>19</v>
      </c>
      <c r="AD24" s="202"/>
      <c r="AE24" s="203"/>
      <c r="AF24" s="201">
        <v>20</v>
      </c>
      <c r="AG24" s="202"/>
      <c r="AH24" s="203"/>
      <c r="AI24" s="204">
        <v>1</v>
      </c>
      <c r="AJ24" s="205"/>
      <c r="AK24" s="205"/>
      <c r="AL24" s="205"/>
      <c r="AM24" s="314">
        <f t="shared" si="3"/>
        <v>126</v>
      </c>
      <c r="AN24" s="185"/>
      <c r="AO24" s="185"/>
      <c r="AP24" s="185"/>
      <c r="AQ24" s="185">
        <f t="shared" si="24"/>
        <v>82.835999999999984</v>
      </c>
      <c r="AR24" s="185"/>
      <c r="AS24" s="185"/>
      <c r="AT24" s="185"/>
      <c r="AU24" s="162">
        <f t="shared" si="4"/>
        <v>1.0745565977604559</v>
      </c>
      <c r="AV24" s="157"/>
      <c r="AW24" s="158"/>
      <c r="AX24" s="186">
        <f t="shared" si="5"/>
        <v>0.95</v>
      </c>
      <c r="AY24" s="187"/>
      <c r="AZ24" s="188"/>
      <c r="BA24" s="182">
        <f t="shared" si="6"/>
        <v>1</v>
      </c>
      <c r="BB24" s="182"/>
      <c r="BC24" s="182"/>
      <c r="BD24" s="182">
        <f t="shared" si="7"/>
        <v>1</v>
      </c>
      <c r="BE24" s="182"/>
      <c r="BF24" s="182"/>
      <c r="BG24" s="182">
        <f t="shared" si="2"/>
        <v>1</v>
      </c>
      <c r="BH24" s="182"/>
      <c r="BI24" s="182"/>
      <c r="BJ24" s="189">
        <f t="shared" si="8"/>
        <v>15.312431518086495</v>
      </c>
      <c r="BK24" s="189"/>
      <c r="BL24" s="189"/>
      <c r="BM24" s="189"/>
      <c r="BN24" s="190">
        <f t="shared" si="22"/>
        <v>15.312431518086495</v>
      </c>
      <c r="BO24" s="191"/>
      <c r="BP24" s="191"/>
      <c r="BQ24" s="191"/>
      <c r="BR24" s="191"/>
      <c r="BS24" s="192"/>
      <c r="BT24" s="193">
        <f t="shared" si="9"/>
        <v>0.16321070830486242</v>
      </c>
      <c r="BU24" s="194"/>
      <c r="BV24" s="194"/>
      <c r="BW24" s="194"/>
      <c r="BX24" s="194"/>
      <c r="BY24" s="162">
        <f t="shared" si="19"/>
        <v>1.4419221291650139</v>
      </c>
      <c r="BZ24" s="157"/>
      <c r="CA24" s="158"/>
      <c r="CB24" s="182">
        <f t="shared" si="25"/>
        <v>19.494386668131085</v>
      </c>
      <c r="CC24" s="182"/>
      <c r="CD24" s="182"/>
      <c r="CE24" s="183"/>
      <c r="CF24" s="184">
        <f t="shared" si="10"/>
        <v>0.95104</v>
      </c>
      <c r="CG24" s="182"/>
      <c r="CH24" s="182"/>
      <c r="CI24" s="182"/>
      <c r="CJ24" s="182">
        <f t="shared" si="11"/>
        <v>21.809249280000003</v>
      </c>
      <c r="CK24" s="182"/>
      <c r="CL24" s="182"/>
      <c r="CM24" s="183"/>
      <c r="CN24" s="178">
        <f t="shared" si="23"/>
        <v>0.9</v>
      </c>
      <c r="CO24" s="157"/>
      <c r="CP24" s="157"/>
      <c r="CQ24" s="158"/>
      <c r="CR24" s="182" t="str">
        <f t="shared" si="0"/>
        <v>Sıvılaşma Beklenir</v>
      </c>
      <c r="CS24" s="182"/>
      <c r="CT24" s="182"/>
      <c r="CU24" s="182"/>
      <c r="CV24" s="182"/>
      <c r="CW24" s="182"/>
      <c r="CX24" s="182"/>
      <c r="CY24" s="182"/>
      <c r="CZ24" s="182"/>
      <c r="DA24" s="182"/>
      <c r="DB24" s="183"/>
      <c r="DC24" s="156">
        <f t="shared" si="12"/>
        <v>0.80000000000000027</v>
      </c>
      <c r="DD24" s="157"/>
      <c r="DE24" s="157"/>
      <c r="DF24" s="158"/>
      <c r="DG24" s="178">
        <f t="shared" si="13"/>
        <v>7</v>
      </c>
      <c r="DH24" s="157"/>
      <c r="DI24" s="157"/>
      <c r="DJ24" s="157"/>
      <c r="DK24" s="162">
        <f t="shared" si="14"/>
        <v>9.9999999999999978E-2</v>
      </c>
      <c r="DL24" s="157"/>
      <c r="DM24" s="157"/>
      <c r="DN24" s="158"/>
      <c r="DO24" s="162">
        <f t="shared" si="21"/>
        <v>0.56000000000000005</v>
      </c>
      <c r="DP24" s="157"/>
      <c r="DQ24" s="157"/>
      <c r="DR24" s="157"/>
      <c r="DS24" s="163"/>
      <c r="DT24" s="156">
        <f t="shared" si="15"/>
        <v>0.80000000000000027</v>
      </c>
      <c r="DU24" s="157"/>
      <c r="DV24" s="157"/>
      <c r="DW24" s="158"/>
      <c r="DX24" s="162">
        <f t="shared" si="16"/>
        <v>7</v>
      </c>
      <c r="DY24" s="157"/>
      <c r="DZ24" s="157"/>
      <c r="EA24" s="158"/>
      <c r="EB24" s="162">
        <f t="shared" si="17"/>
        <v>0.57209977166555082</v>
      </c>
      <c r="EC24" s="157"/>
      <c r="ED24" s="157"/>
      <c r="EE24" s="158"/>
      <c r="EF24" s="162">
        <f t="shared" si="18"/>
        <v>3.2037587213270857</v>
      </c>
      <c r="EG24" s="157"/>
      <c r="EH24" s="157"/>
      <c r="EI24" s="157"/>
      <c r="EJ24" s="175"/>
      <c r="EV24" s="50"/>
      <c r="EW24" s="50"/>
      <c r="EX24" s="50"/>
      <c r="EY24" s="24"/>
      <c r="GK24" s="39"/>
      <c r="GL24" s="39"/>
      <c r="GM24" s="39"/>
      <c r="GN24" s="39"/>
      <c r="GO24" s="39"/>
      <c r="GP24" s="39"/>
      <c r="GQ24" s="39"/>
      <c r="GR24" s="39"/>
      <c r="GS24" s="39"/>
      <c r="GT24" s="39"/>
      <c r="GU24" s="24"/>
      <c r="GV24" s="24"/>
      <c r="HS24" s="52">
        <f t="shared" si="1"/>
        <v>1.0745565977604559</v>
      </c>
      <c r="HT24" s="53"/>
      <c r="HU24" s="53">
        <v>22</v>
      </c>
      <c r="HV24" s="53"/>
      <c r="HW24" s="53"/>
      <c r="HX24" s="53"/>
      <c r="HY24" s="54">
        <v>48</v>
      </c>
    </row>
    <row r="25" spans="2:233" s="5" customFormat="1" ht="24.95" customHeight="1">
      <c r="B25" s="312" t="s">
        <v>144</v>
      </c>
      <c r="C25" s="313"/>
      <c r="D25" s="313"/>
      <c r="E25" s="315">
        <v>7.2</v>
      </c>
      <c r="F25" s="316"/>
      <c r="G25" s="316"/>
      <c r="H25" s="317"/>
      <c r="I25" s="320">
        <v>12</v>
      </c>
      <c r="J25" s="320"/>
      <c r="K25" s="320"/>
      <c r="L25" s="206" t="s">
        <v>34</v>
      </c>
      <c r="M25" s="207"/>
      <c r="N25" s="207"/>
      <c r="O25" s="207"/>
      <c r="P25" s="207"/>
      <c r="Q25" s="198" t="s">
        <v>113</v>
      </c>
      <c r="R25" s="199"/>
      <c r="S25" s="199"/>
      <c r="T25" s="199"/>
      <c r="U25" s="200"/>
      <c r="V25" s="201"/>
      <c r="W25" s="202"/>
      <c r="X25" s="202"/>
      <c r="Y25" s="203"/>
      <c r="Z25" s="201"/>
      <c r="AA25" s="202"/>
      <c r="AB25" s="203"/>
      <c r="AC25" s="321">
        <v>19</v>
      </c>
      <c r="AD25" s="322"/>
      <c r="AE25" s="323"/>
      <c r="AF25" s="321">
        <v>20</v>
      </c>
      <c r="AG25" s="322"/>
      <c r="AH25" s="323"/>
      <c r="AI25" s="204">
        <v>1</v>
      </c>
      <c r="AJ25" s="205"/>
      <c r="AK25" s="205"/>
      <c r="AL25" s="205"/>
      <c r="AM25" s="314">
        <f t="shared" si="3"/>
        <v>142</v>
      </c>
      <c r="AN25" s="185"/>
      <c r="AO25" s="185"/>
      <c r="AP25" s="185"/>
      <c r="AQ25" s="185">
        <f t="shared" si="24"/>
        <v>90.988</v>
      </c>
      <c r="AR25" s="185"/>
      <c r="AS25" s="185"/>
      <c r="AT25" s="185"/>
      <c r="AU25" s="162">
        <f t="shared" si="4"/>
        <v>1.0252901740927458</v>
      </c>
      <c r="AV25" s="157"/>
      <c r="AW25" s="158"/>
      <c r="AX25" s="186">
        <f t="shared" si="5"/>
        <v>0.95</v>
      </c>
      <c r="AY25" s="187"/>
      <c r="AZ25" s="188"/>
      <c r="BA25" s="182">
        <f t="shared" si="6"/>
        <v>1</v>
      </c>
      <c r="BB25" s="182"/>
      <c r="BC25" s="182"/>
      <c r="BD25" s="182">
        <f t="shared" si="7"/>
        <v>1</v>
      </c>
      <c r="BE25" s="182"/>
      <c r="BF25" s="182"/>
      <c r="BG25" s="182">
        <f t="shared" si="2"/>
        <v>1</v>
      </c>
      <c r="BH25" s="182"/>
      <c r="BI25" s="182"/>
      <c r="BJ25" s="189">
        <f t="shared" si="8"/>
        <v>11.688307984657303</v>
      </c>
      <c r="BK25" s="189"/>
      <c r="BL25" s="189"/>
      <c r="BM25" s="189"/>
      <c r="BN25" s="190">
        <f t="shared" si="22"/>
        <v>11.688307984657303</v>
      </c>
      <c r="BO25" s="191"/>
      <c r="BP25" s="191"/>
      <c r="BQ25" s="191"/>
      <c r="BR25" s="191"/>
      <c r="BS25" s="192"/>
      <c r="BT25" s="193">
        <f t="shared" si="9"/>
        <v>0.12830755976311284</v>
      </c>
      <c r="BU25" s="194"/>
      <c r="BV25" s="194"/>
      <c r="BW25" s="194"/>
      <c r="BX25" s="194"/>
      <c r="BY25" s="162">
        <f t="shared" si="19"/>
        <v>1.4419221291650139</v>
      </c>
      <c r="BZ25" s="157"/>
      <c r="CA25" s="158"/>
      <c r="CB25" s="182">
        <f t="shared" si="25"/>
        <v>16.833645274188001</v>
      </c>
      <c r="CC25" s="182"/>
      <c r="CD25" s="182"/>
      <c r="CE25" s="183"/>
      <c r="CF25" s="184">
        <f t="shared" si="10"/>
        <v>0.94491999999999998</v>
      </c>
      <c r="CG25" s="182"/>
      <c r="CH25" s="182"/>
      <c r="CI25" s="182"/>
      <c r="CJ25" s="182">
        <f t="shared" si="11"/>
        <v>24.420512479999999</v>
      </c>
      <c r="CK25" s="182"/>
      <c r="CL25" s="182"/>
      <c r="CM25" s="183"/>
      <c r="CN25" s="178">
        <f t="shared" si="23"/>
        <v>0.69000000000000006</v>
      </c>
      <c r="CO25" s="157"/>
      <c r="CP25" s="157"/>
      <c r="CQ25" s="158"/>
      <c r="CR25" s="182" t="str">
        <f t="shared" si="0"/>
        <v>Sıvılaşma Beklenir</v>
      </c>
      <c r="CS25" s="182"/>
      <c r="CT25" s="182"/>
      <c r="CU25" s="182"/>
      <c r="CV25" s="182"/>
      <c r="CW25" s="182"/>
      <c r="CX25" s="182"/>
      <c r="CY25" s="182"/>
      <c r="CZ25" s="182"/>
      <c r="DA25" s="182"/>
      <c r="DB25" s="183"/>
      <c r="DC25" s="156">
        <f t="shared" si="12"/>
        <v>0.75</v>
      </c>
      <c r="DD25" s="157"/>
      <c r="DE25" s="157"/>
      <c r="DF25" s="158"/>
      <c r="DG25" s="178">
        <f t="shared" si="13"/>
        <v>6.6</v>
      </c>
      <c r="DH25" s="157"/>
      <c r="DI25" s="157"/>
      <c r="DJ25" s="157"/>
      <c r="DK25" s="162">
        <f t="shared" si="14"/>
        <v>0.30999999999999994</v>
      </c>
      <c r="DL25" s="157"/>
      <c r="DM25" s="157"/>
      <c r="DN25" s="158"/>
      <c r="DO25" s="162">
        <f t="shared" si="21"/>
        <v>1.5344999999999995</v>
      </c>
      <c r="DP25" s="157"/>
      <c r="DQ25" s="157"/>
      <c r="DR25" s="157"/>
      <c r="DS25" s="163"/>
      <c r="DT25" s="156">
        <f t="shared" si="15"/>
        <v>0.75</v>
      </c>
      <c r="DU25" s="157"/>
      <c r="DV25" s="157"/>
      <c r="DW25" s="158"/>
      <c r="DX25" s="162">
        <f t="shared" si="16"/>
        <v>6.6</v>
      </c>
      <c r="DY25" s="157"/>
      <c r="DZ25" s="157"/>
      <c r="EA25" s="158"/>
      <c r="EB25" s="162">
        <f t="shared" si="17"/>
        <v>0.8154903150608549</v>
      </c>
      <c r="EC25" s="157"/>
      <c r="ED25" s="157"/>
      <c r="EE25" s="158"/>
      <c r="EF25" s="162">
        <f t="shared" si="18"/>
        <v>4.0366770595512316</v>
      </c>
      <c r="EG25" s="157"/>
      <c r="EH25" s="157"/>
      <c r="EI25" s="157"/>
      <c r="EJ25" s="175"/>
      <c r="EV25" s="50"/>
      <c r="EW25" s="50"/>
      <c r="EX25" s="50"/>
      <c r="EY25" s="24"/>
      <c r="GK25" s="39"/>
      <c r="GL25" s="39"/>
      <c r="GM25" s="39"/>
      <c r="GN25" s="39"/>
      <c r="GO25" s="39"/>
      <c r="GP25" s="39"/>
      <c r="GQ25" s="39"/>
      <c r="GR25" s="39"/>
      <c r="GS25" s="39"/>
      <c r="GT25" s="39"/>
      <c r="GU25" s="24"/>
      <c r="GV25" s="24"/>
      <c r="HS25" s="52">
        <f t="shared" si="1"/>
        <v>1.0252901740927458</v>
      </c>
      <c r="HT25" s="53"/>
      <c r="HU25" s="53">
        <v>22</v>
      </c>
      <c r="HV25" s="53"/>
      <c r="HW25" s="53"/>
      <c r="HX25" s="53"/>
      <c r="HY25" s="54">
        <v>12</v>
      </c>
    </row>
    <row r="26" spans="2:233" ht="24.95" customHeight="1">
      <c r="B26" s="312" t="s">
        <v>53</v>
      </c>
      <c r="C26" s="313"/>
      <c r="D26" s="313"/>
      <c r="E26" s="198">
        <v>7.9</v>
      </c>
      <c r="F26" s="199"/>
      <c r="G26" s="199"/>
      <c r="H26" s="200"/>
      <c r="I26" s="208">
        <v>40</v>
      </c>
      <c r="J26" s="208"/>
      <c r="K26" s="208"/>
      <c r="L26" s="206" t="s">
        <v>36</v>
      </c>
      <c r="M26" s="207"/>
      <c r="N26" s="207"/>
      <c r="O26" s="207"/>
      <c r="P26" s="207"/>
      <c r="Q26" s="198" t="s">
        <v>113</v>
      </c>
      <c r="R26" s="199"/>
      <c r="S26" s="199"/>
      <c r="T26" s="199"/>
      <c r="U26" s="200"/>
      <c r="V26" s="201"/>
      <c r="W26" s="202"/>
      <c r="X26" s="202"/>
      <c r="Y26" s="203"/>
      <c r="Z26" s="201"/>
      <c r="AA26" s="202"/>
      <c r="AB26" s="203"/>
      <c r="AC26" s="201">
        <v>19</v>
      </c>
      <c r="AD26" s="202"/>
      <c r="AE26" s="203"/>
      <c r="AF26" s="201">
        <v>20</v>
      </c>
      <c r="AG26" s="202"/>
      <c r="AH26" s="203"/>
      <c r="AI26" s="204">
        <v>1</v>
      </c>
      <c r="AJ26" s="205"/>
      <c r="AK26" s="205"/>
      <c r="AL26" s="205"/>
      <c r="AM26" s="314">
        <f t="shared" si="3"/>
        <v>156</v>
      </c>
      <c r="AN26" s="185"/>
      <c r="AO26" s="185"/>
      <c r="AP26" s="185"/>
      <c r="AQ26" s="185">
        <f t="shared" si="24"/>
        <v>98.120999999999995</v>
      </c>
      <c r="AR26" s="185"/>
      <c r="AS26" s="185"/>
      <c r="AT26" s="185"/>
      <c r="AU26" s="162">
        <f t="shared" si="4"/>
        <v>0.98731985770656605</v>
      </c>
      <c r="AV26" s="157"/>
      <c r="AW26" s="158"/>
      <c r="AX26" s="186">
        <f t="shared" si="5"/>
        <v>0.95</v>
      </c>
      <c r="AY26" s="187"/>
      <c r="AZ26" s="188"/>
      <c r="BA26" s="182">
        <f t="shared" si="6"/>
        <v>1</v>
      </c>
      <c r="BB26" s="182"/>
      <c r="BC26" s="182"/>
      <c r="BD26" s="182">
        <f t="shared" si="7"/>
        <v>1</v>
      </c>
      <c r="BE26" s="182"/>
      <c r="BF26" s="182"/>
      <c r="BG26" s="182">
        <f t="shared" si="2"/>
        <v>1</v>
      </c>
      <c r="BH26" s="182"/>
      <c r="BI26" s="182"/>
      <c r="BJ26" s="189" t="str">
        <f t="shared" si="8"/>
        <v>&gt;30</v>
      </c>
      <c r="BK26" s="189"/>
      <c r="BL26" s="189"/>
      <c r="BM26" s="189"/>
      <c r="BN26" s="190" t="str">
        <f t="shared" si="22"/>
        <v>-</v>
      </c>
      <c r="BO26" s="191"/>
      <c r="BP26" s="191"/>
      <c r="BQ26" s="191"/>
      <c r="BR26" s="191"/>
      <c r="BS26" s="192"/>
      <c r="BT26" s="193" t="str">
        <f t="shared" si="9"/>
        <v>-</v>
      </c>
      <c r="BU26" s="194"/>
      <c r="BV26" s="194"/>
      <c r="BW26" s="194"/>
      <c r="BX26" s="194"/>
      <c r="BY26" s="162" t="str">
        <f t="shared" si="19"/>
        <v>-</v>
      </c>
      <c r="BZ26" s="157"/>
      <c r="CA26" s="158"/>
      <c r="CB26" s="182" t="str">
        <f t="shared" si="25"/>
        <v>-</v>
      </c>
      <c r="CC26" s="182"/>
      <c r="CD26" s="182"/>
      <c r="CE26" s="183"/>
      <c r="CF26" s="184" t="str">
        <f t="shared" si="10"/>
        <v>-</v>
      </c>
      <c r="CG26" s="182"/>
      <c r="CH26" s="182"/>
      <c r="CI26" s="182"/>
      <c r="CJ26" s="182" t="str">
        <f t="shared" si="11"/>
        <v>-</v>
      </c>
      <c r="CK26" s="182"/>
      <c r="CL26" s="182"/>
      <c r="CM26" s="183"/>
      <c r="CN26" s="178" t="str">
        <f t="shared" si="23"/>
        <v>-</v>
      </c>
      <c r="CO26" s="157"/>
      <c r="CP26" s="157"/>
      <c r="CQ26" s="158"/>
      <c r="CR26" s="182" t="str">
        <f t="shared" si="0"/>
        <v>-</v>
      </c>
      <c r="CS26" s="182"/>
      <c r="CT26" s="182"/>
      <c r="CU26" s="182"/>
      <c r="CV26" s="182"/>
      <c r="CW26" s="182"/>
      <c r="CX26" s="182"/>
      <c r="CY26" s="182"/>
      <c r="CZ26" s="182"/>
      <c r="DA26" s="182"/>
      <c r="DB26" s="183"/>
      <c r="DC26" s="156" t="str">
        <f t="shared" si="12"/>
        <v>-</v>
      </c>
      <c r="DD26" s="157"/>
      <c r="DE26" s="157"/>
      <c r="DF26" s="158"/>
      <c r="DG26" s="178" t="str">
        <f t="shared" si="13"/>
        <v>-</v>
      </c>
      <c r="DH26" s="157"/>
      <c r="DI26" s="157"/>
      <c r="DJ26" s="157"/>
      <c r="DK26" s="162" t="str">
        <f t="shared" si="14"/>
        <v>-</v>
      </c>
      <c r="DL26" s="157"/>
      <c r="DM26" s="157"/>
      <c r="DN26" s="158"/>
      <c r="DO26" s="162" t="str">
        <f t="shared" si="21"/>
        <v>-</v>
      </c>
      <c r="DP26" s="157"/>
      <c r="DQ26" s="157"/>
      <c r="DR26" s="157"/>
      <c r="DS26" s="163"/>
      <c r="DT26" s="156" t="str">
        <f t="shared" si="15"/>
        <v>-</v>
      </c>
      <c r="DU26" s="157"/>
      <c r="DV26" s="157"/>
      <c r="DW26" s="158"/>
      <c r="DX26" s="162" t="str">
        <f t="shared" si="16"/>
        <v>-</v>
      </c>
      <c r="DY26" s="157"/>
      <c r="DZ26" s="157"/>
      <c r="EA26" s="158"/>
      <c r="EB26" s="162" t="str">
        <f t="shared" si="17"/>
        <v>-</v>
      </c>
      <c r="EC26" s="157"/>
      <c r="ED26" s="157"/>
      <c r="EE26" s="158"/>
      <c r="EF26" s="162" t="str">
        <f t="shared" si="18"/>
        <v>-</v>
      </c>
      <c r="EG26" s="157"/>
      <c r="EH26" s="157"/>
      <c r="EI26" s="157"/>
      <c r="EJ26" s="175"/>
      <c r="EV26" s="50"/>
      <c r="EW26" s="50"/>
      <c r="EX26" s="50"/>
      <c r="EY26" s="24"/>
      <c r="GK26" s="24"/>
      <c r="GL26" s="24"/>
      <c r="GM26" s="24"/>
      <c r="GN26" s="24"/>
      <c r="GO26" s="24"/>
      <c r="GP26" s="24"/>
      <c r="GQ26" s="24"/>
      <c r="GR26" s="24"/>
      <c r="GS26" s="24"/>
      <c r="GT26" s="24"/>
      <c r="GU26" s="24"/>
      <c r="GV26" s="24"/>
      <c r="HS26" s="52">
        <f t="shared" si="1"/>
        <v>0.98731985770656605</v>
      </c>
      <c r="HT26" s="53"/>
      <c r="HU26" s="53">
        <v>14</v>
      </c>
      <c r="HV26" s="53"/>
      <c r="HW26" s="53"/>
      <c r="HX26" s="53"/>
      <c r="HY26" s="54">
        <v>48</v>
      </c>
    </row>
    <row r="27" spans="2:233" ht="24.95" customHeight="1">
      <c r="B27" s="312" t="s">
        <v>139</v>
      </c>
      <c r="C27" s="313"/>
      <c r="D27" s="313"/>
      <c r="E27" s="198">
        <v>8.6999999999999993</v>
      </c>
      <c r="F27" s="199"/>
      <c r="G27" s="199"/>
      <c r="H27" s="200"/>
      <c r="I27" s="208" t="s">
        <v>338</v>
      </c>
      <c r="J27" s="208"/>
      <c r="K27" s="208"/>
      <c r="L27" s="206"/>
      <c r="M27" s="207"/>
      <c r="N27" s="207"/>
      <c r="O27" s="207"/>
      <c r="P27" s="207"/>
      <c r="Q27" s="198"/>
      <c r="R27" s="199"/>
      <c r="S27" s="199"/>
      <c r="T27" s="199"/>
      <c r="U27" s="200"/>
      <c r="V27" s="201"/>
      <c r="W27" s="202"/>
      <c r="X27" s="202"/>
      <c r="Y27" s="203"/>
      <c r="Z27" s="201"/>
      <c r="AA27" s="202"/>
      <c r="AB27" s="203"/>
      <c r="AC27" s="201">
        <v>19</v>
      </c>
      <c r="AD27" s="202"/>
      <c r="AE27" s="203"/>
      <c r="AF27" s="201">
        <v>20</v>
      </c>
      <c r="AG27" s="202"/>
      <c r="AH27" s="203"/>
      <c r="AI27" s="204">
        <v>90</v>
      </c>
      <c r="AJ27" s="205"/>
      <c r="AK27" s="205"/>
      <c r="AL27" s="205"/>
      <c r="AM27" s="314">
        <f t="shared" si="3"/>
        <v>172</v>
      </c>
      <c r="AN27" s="185"/>
      <c r="AO27" s="185"/>
      <c r="AP27" s="185"/>
      <c r="AQ27" s="185">
        <f t="shared" si="24"/>
        <v>106.27300000000001</v>
      </c>
      <c r="AR27" s="185"/>
      <c r="AS27" s="185"/>
      <c r="AT27" s="185"/>
      <c r="AU27" s="162" t="str">
        <f t="shared" si="4"/>
        <v>-</v>
      </c>
      <c r="AV27" s="157"/>
      <c r="AW27" s="158"/>
      <c r="AX27" s="186" t="str">
        <f t="shared" si="5"/>
        <v>-</v>
      </c>
      <c r="AY27" s="187"/>
      <c r="AZ27" s="188"/>
      <c r="BA27" s="182" t="str">
        <f t="shared" si="6"/>
        <v>-</v>
      </c>
      <c r="BB27" s="182"/>
      <c r="BC27" s="182"/>
      <c r="BD27" s="182" t="str">
        <f t="shared" si="7"/>
        <v>-</v>
      </c>
      <c r="BE27" s="182"/>
      <c r="BF27" s="182"/>
      <c r="BG27" s="182" t="str">
        <f t="shared" si="2"/>
        <v>-</v>
      </c>
      <c r="BH27" s="182"/>
      <c r="BI27" s="182"/>
      <c r="BJ27" s="189" t="str">
        <f t="shared" si="8"/>
        <v>-</v>
      </c>
      <c r="BK27" s="189"/>
      <c r="BL27" s="189"/>
      <c r="BM27" s="189"/>
      <c r="BN27" s="190" t="str">
        <f t="shared" si="22"/>
        <v>-</v>
      </c>
      <c r="BO27" s="191"/>
      <c r="BP27" s="191"/>
      <c r="BQ27" s="191"/>
      <c r="BR27" s="191"/>
      <c r="BS27" s="192"/>
      <c r="BT27" s="193" t="str">
        <f t="shared" si="9"/>
        <v>-</v>
      </c>
      <c r="BU27" s="194"/>
      <c r="BV27" s="194"/>
      <c r="BW27" s="194"/>
      <c r="BX27" s="194"/>
      <c r="BY27" s="162" t="str">
        <f t="shared" si="19"/>
        <v>-</v>
      </c>
      <c r="BZ27" s="157"/>
      <c r="CA27" s="158"/>
      <c r="CB27" s="182" t="str">
        <f t="shared" si="25"/>
        <v>-</v>
      </c>
      <c r="CC27" s="182"/>
      <c r="CD27" s="182"/>
      <c r="CE27" s="183"/>
      <c r="CF27" s="184" t="str">
        <f t="shared" si="10"/>
        <v>-</v>
      </c>
      <c r="CG27" s="182"/>
      <c r="CH27" s="182"/>
      <c r="CI27" s="182"/>
      <c r="CJ27" s="182" t="str">
        <f t="shared" si="11"/>
        <v>-</v>
      </c>
      <c r="CK27" s="182"/>
      <c r="CL27" s="182"/>
      <c r="CM27" s="183"/>
      <c r="CN27" s="178" t="str">
        <f t="shared" si="23"/>
        <v>-</v>
      </c>
      <c r="CO27" s="157"/>
      <c r="CP27" s="157"/>
      <c r="CQ27" s="158"/>
      <c r="CR27" s="182" t="str">
        <f t="shared" si="0"/>
        <v>-</v>
      </c>
      <c r="CS27" s="182"/>
      <c r="CT27" s="182"/>
      <c r="CU27" s="182"/>
      <c r="CV27" s="182"/>
      <c r="CW27" s="182"/>
      <c r="CX27" s="182"/>
      <c r="CY27" s="182"/>
      <c r="CZ27" s="182"/>
      <c r="DA27" s="182"/>
      <c r="DB27" s="183"/>
      <c r="DC27" s="156" t="str">
        <f t="shared" si="12"/>
        <v>-</v>
      </c>
      <c r="DD27" s="157"/>
      <c r="DE27" s="157"/>
      <c r="DF27" s="158"/>
      <c r="DG27" s="178" t="str">
        <f t="shared" si="13"/>
        <v>-</v>
      </c>
      <c r="DH27" s="157"/>
      <c r="DI27" s="157"/>
      <c r="DJ27" s="157"/>
      <c r="DK27" s="162" t="str">
        <f t="shared" si="14"/>
        <v>-</v>
      </c>
      <c r="DL27" s="157"/>
      <c r="DM27" s="157"/>
      <c r="DN27" s="158"/>
      <c r="DO27" s="162" t="str">
        <f t="shared" si="21"/>
        <v>-</v>
      </c>
      <c r="DP27" s="157"/>
      <c r="DQ27" s="157"/>
      <c r="DR27" s="157"/>
      <c r="DS27" s="163"/>
      <c r="DT27" s="156" t="str">
        <f t="shared" si="15"/>
        <v>-</v>
      </c>
      <c r="DU27" s="157"/>
      <c r="DV27" s="157"/>
      <c r="DW27" s="158"/>
      <c r="DX27" s="162" t="str">
        <f t="shared" si="16"/>
        <v>-</v>
      </c>
      <c r="DY27" s="157"/>
      <c r="DZ27" s="157"/>
      <c r="EA27" s="158"/>
      <c r="EB27" s="162" t="str">
        <f t="shared" si="17"/>
        <v>-</v>
      </c>
      <c r="EC27" s="157"/>
      <c r="ED27" s="157"/>
      <c r="EE27" s="158"/>
      <c r="EF27" s="162" t="str">
        <f t="shared" si="18"/>
        <v>-</v>
      </c>
      <c r="EG27" s="157"/>
      <c r="EH27" s="157"/>
      <c r="EI27" s="157"/>
      <c r="EJ27" s="175"/>
      <c r="EV27" s="50"/>
      <c r="EW27" s="50"/>
      <c r="EX27" s="50"/>
      <c r="EY27" s="24"/>
      <c r="HS27" s="52">
        <f t="shared" si="1"/>
        <v>0.94869668823338726</v>
      </c>
      <c r="HT27" s="53"/>
      <c r="HU27" s="53">
        <v>26</v>
      </c>
      <c r="HV27" s="53"/>
      <c r="HW27" s="53"/>
      <c r="HX27" s="53"/>
      <c r="HY27" s="54">
        <v>48</v>
      </c>
    </row>
    <row r="28" spans="2:233" ht="24.95" customHeight="1">
      <c r="B28" s="312" t="s">
        <v>140</v>
      </c>
      <c r="C28" s="313"/>
      <c r="D28" s="313"/>
      <c r="E28" s="198">
        <v>9.4</v>
      </c>
      <c r="F28" s="199"/>
      <c r="G28" s="199"/>
      <c r="H28" s="200"/>
      <c r="I28" s="208">
        <v>10</v>
      </c>
      <c r="J28" s="208"/>
      <c r="K28" s="208"/>
      <c r="L28" s="206"/>
      <c r="M28" s="207"/>
      <c r="N28" s="207"/>
      <c r="O28" s="207"/>
      <c r="P28" s="207"/>
      <c r="Q28" s="198"/>
      <c r="R28" s="199"/>
      <c r="S28" s="199"/>
      <c r="T28" s="199"/>
      <c r="U28" s="200"/>
      <c r="V28" s="201"/>
      <c r="W28" s="202"/>
      <c r="X28" s="202"/>
      <c r="Y28" s="203"/>
      <c r="Z28" s="201"/>
      <c r="AA28" s="202"/>
      <c r="AB28" s="203"/>
      <c r="AC28" s="201">
        <v>19</v>
      </c>
      <c r="AD28" s="202"/>
      <c r="AE28" s="203"/>
      <c r="AF28" s="201">
        <v>20</v>
      </c>
      <c r="AG28" s="202"/>
      <c r="AH28" s="203"/>
      <c r="AI28" s="204">
        <v>10</v>
      </c>
      <c r="AJ28" s="205"/>
      <c r="AK28" s="205"/>
      <c r="AL28" s="205"/>
      <c r="AM28" s="314">
        <f t="shared" si="3"/>
        <v>186</v>
      </c>
      <c r="AN28" s="185"/>
      <c r="AO28" s="185"/>
      <c r="AP28" s="185"/>
      <c r="AQ28" s="185">
        <f t="shared" si="24"/>
        <v>113.40599999999999</v>
      </c>
      <c r="AR28" s="185"/>
      <c r="AS28" s="185"/>
      <c r="AT28" s="185"/>
      <c r="AU28" s="162">
        <f t="shared" si="4"/>
        <v>0.91837666144747665</v>
      </c>
      <c r="AV28" s="157"/>
      <c r="AW28" s="158"/>
      <c r="AX28" s="186">
        <f t="shared" si="5"/>
        <v>1</v>
      </c>
      <c r="AY28" s="187"/>
      <c r="AZ28" s="188"/>
      <c r="BA28" s="182">
        <f t="shared" si="6"/>
        <v>1</v>
      </c>
      <c r="BB28" s="182"/>
      <c r="BC28" s="182"/>
      <c r="BD28" s="182">
        <f t="shared" si="7"/>
        <v>1</v>
      </c>
      <c r="BE28" s="182"/>
      <c r="BF28" s="182"/>
      <c r="BG28" s="182">
        <f t="shared" si="2"/>
        <v>1</v>
      </c>
      <c r="BH28" s="182"/>
      <c r="BI28" s="182"/>
      <c r="BJ28" s="189">
        <f>IF(E28="","",IF(I28="R","-",IF(E28&lt;=$BC$8,"-",IF(PRODUCT(I28,AU28,AX28,BA28,BD28,BG28)&lt;30,(PRODUCT(I28,AU28,AX28,BA28,BD28,BG28)),"&gt;30"))))</f>
        <v>9.1837666144747665</v>
      </c>
      <c r="BK28" s="189"/>
      <c r="BL28" s="189"/>
      <c r="BM28" s="189"/>
      <c r="BN28" s="190">
        <f t="shared" si="22"/>
        <v>10.251703383740363</v>
      </c>
      <c r="BO28" s="191"/>
      <c r="BP28" s="191"/>
      <c r="BQ28" s="191"/>
      <c r="BR28" s="191"/>
      <c r="BS28" s="192"/>
      <c r="BT28" s="193">
        <f t="shared" si="9"/>
        <v>0.11534448626747319</v>
      </c>
      <c r="BU28" s="194"/>
      <c r="BV28" s="194"/>
      <c r="BW28" s="194"/>
      <c r="BX28" s="194"/>
      <c r="BY28" s="162">
        <f t="shared" si="19"/>
        <v>1.4419221291650139</v>
      </c>
      <c r="BZ28" s="157"/>
      <c r="CA28" s="158"/>
      <c r="CB28" s="182">
        <f t="shared" si="25"/>
        <v>18.861432710058935</v>
      </c>
      <c r="CC28" s="182"/>
      <c r="CD28" s="182"/>
      <c r="CE28" s="183"/>
      <c r="CF28" s="184">
        <f t="shared" si="10"/>
        <v>0.92301999999999995</v>
      </c>
      <c r="CG28" s="182"/>
      <c r="CH28" s="182"/>
      <c r="CI28" s="182"/>
      <c r="CJ28" s="182">
        <f t="shared" si="11"/>
        <v>31.246073040000002</v>
      </c>
      <c r="CK28" s="182"/>
      <c r="CL28" s="182"/>
      <c r="CM28" s="183"/>
      <c r="CN28" s="178">
        <f t="shared" si="23"/>
        <v>0.61</v>
      </c>
      <c r="CO28" s="157"/>
      <c r="CP28" s="157"/>
      <c r="CQ28" s="158"/>
      <c r="CR28" s="182" t="str">
        <f t="shared" si="0"/>
        <v>Sıvılaşma Beklenir</v>
      </c>
      <c r="CS28" s="182"/>
      <c r="CT28" s="182"/>
      <c r="CU28" s="182"/>
      <c r="CV28" s="182"/>
      <c r="CW28" s="182"/>
      <c r="CX28" s="182"/>
      <c r="CY28" s="182"/>
      <c r="CZ28" s="182"/>
      <c r="DA28" s="182"/>
      <c r="DB28" s="183"/>
      <c r="DC28" s="156">
        <f t="shared" si="12"/>
        <v>0.75</v>
      </c>
      <c r="DD28" s="157"/>
      <c r="DE28" s="157"/>
      <c r="DF28" s="158"/>
      <c r="DG28" s="178">
        <f t="shared" si="13"/>
        <v>5.4749999999999996</v>
      </c>
      <c r="DH28" s="157"/>
      <c r="DI28" s="157"/>
      <c r="DJ28" s="157"/>
      <c r="DK28" s="162">
        <f t="shared" si="14"/>
        <v>0.39</v>
      </c>
      <c r="DL28" s="157"/>
      <c r="DM28" s="157"/>
      <c r="DN28" s="158"/>
      <c r="DO28" s="162">
        <f t="shared" si="21"/>
        <v>1.6014375000000001</v>
      </c>
      <c r="DP28" s="157"/>
      <c r="DQ28" s="157"/>
      <c r="DR28" s="157"/>
      <c r="DS28" s="163"/>
      <c r="DT28" s="156">
        <f t="shared" si="15"/>
        <v>0.75</v>
      </c>
      <c r="DU28" s="157"/>
      <c r="DV28" s="157"/>
      <c r="DW28" s="158"/>
      <c r="DX28" s="162">
        <f t="shared" si="16"/>
        <v>5.4749999999999996</v>
      </c>
      <c r="DY28" s="157"/>
      <c r="DZ28" s="157"/>
      <c r="EA28" s="158"/>
      <c r="EB28" s="162">
        <f t="shared" si="17"/>
        <v>0.88499785824793686</v>
      </c>
      <c r="EC28" s="157"/>
      <c r="ED28" s="157"/>
      <c r="EE28" s="158"/>
      <c r="EF28" s="162">
        <f t="shared" si="18"/>
        <v>3.6340224554305904</v>
      </c>
      <c r="EG28" s="157"/>
      <c r="EH28" s="157"/>
      <c r="EI28" s="157"/>
      <c r="EJ28" s="175"/>
      <c r="EV28" s="50"/>
      <c r="EW28" s="50"/>
      <c r="EX28" s="50"/>
      <c r="EY28" s="24"/>
      <c r="HS28" s="52">
        <f t="shared" si="1"/>
        <v>0.91837666144747665</v>
      </c>
      <c r="HT28" s="53"/>
      <c r="HU28" s="53">
        <v>23</v>
      </c>
      <c r="HV28" s="53"/>
      <c r="HW28" s="53"/>
      <c r="HX28" s="53"/>
      <c r="HY28" s="54">
        <v>48</v>
      </c>
    </row>
    <row r="29" spans="2:233" ht="24.95" customHeight="1">
      <c r="B29" s="312" t="s">
        <v>141</v>
      </c>
      <c r="C29" s="313"/>
      <c r="D29" s="313"/>
      <c r="E29" s="198">
        <v>10.199999999999999</v>
      </c>
      <c r="F29" s="199"/>
      <c r="G29" s="199"/>
      <c r="H29" s="200"/>
      <c r="I29" s="208">
        <v>15</v>
      </c>
      <c r="J29" s="208"/>
      <c r="K29" s="208"/>
      <c r="L29" s="206"/>
      <c r="M29" s="207"/>
      <c r="N29" s="207"/>
      <c r="O29" s="207"/>
      <c r="P29" s="207"/>
      <c r="Q29" s="198"/>
      <c r="R29" s="199"/>
      <c r="S29" s="199"/>
      <c r="T29" s="199"/>
      <c r="U29" s="200"/>
      <c r="V29" s="201"/>
      <c r="W29" s="202"/>
      <c r="X29" s="202"/>
      <c r="Y29" s="203"/>
      <c r="Z29" s="201"/>
      <c r="AA29" s="202"/>
      <c r="AB29" s="203"/>
      <c r="AC29" s="201">
        <v>19</v>
      </c>
      <c r="AD29" s="202"/>
      <c r="AE29" s="203"/>
      <c r="AF29" s="201">
        <v>20</v>
      </c>
      <c r="AG29" s="202"/>
      <c r="AH29" s="203"/>
      <c r="AI29" s="204">
        <v>14</v>
      </c>
      <c r="AJ29" s="205"/>
      <c r="AK29" s="205"/>
      <c r="AL29" s="205"/>
      <c r="AM29" s="314">
        <f t="shared" si="3"/>
        <v>202</v>
      </c>
      <c r="AN29" s="185"/>
      <c r="AO29" s="185"/>
      <c r="AP29" s="185"/>
      <c r="AQ29" s="185">
        <f t="shared" si="24"/>
        <v>121.55800000000001</v>
      </c>
      <c r="AR29" s="185"/>
      <c r="AS29" s="185"/>
      <c r="AT29" s="185"/>
      <c r="AU29" s="162">
        <f t="shared" si="4"/>
        <v>0.88704791983101994</v>
      </c>
      <c r="AV29" s="157"/>
      <c r="AW29" s="158"/>
      <c r="AX29" s="186">
        <f t="shared" si="5"/>
        <v>1</v>
      </c>
      <c r="AY29" s="187"/>
      <c r="AZ29" s="188"/>
      <c r="BA29" s="182">
        <f t="shared" si="6"/>
        <v>1</v>
      </c>
      <c r="BB29" s="182"/>
      <c r="BC29" s="182"/>
      <c r="BD29" s="182">
        <f t="shared" si="7"/>
        <v>1</v>
      </c>
      <c r="BE29" s="182"/>
      <c r="BF29" s="182"/>
      <c r="BG29" s="182">
        <f t="shared" si="2"/>
        <v>1</v>
      </c>
      <c r="BH29" s="182"/>
      <c r="BI29" s="182"/>
      <c r="BJ29" s="189">
        <f t="shared" ref="BJ29:BJ31" si="26">IF(E29="","",IF(I29="R","-",IF(E29&lt;=$BC$8,"-",IF(PRODUCT(I29,AU29,AX29,BA29,BD29,BG29)&lt;30,(PRODUCT(I29,AU29,AX29,BA29,BD29,BG29)),"&gt;30"))))</f>
        <v>13.3057187974653</v>
      </c>
      <c r="BK29" s="189"/>
      <c r="BL29" s="189"/>
      <c r="BM29" s="189"/>
      <c r="BN29" s="190">
        <f t="shared" si="22"/>
        <v>16.074403641364011</v>
      </c>
      <c r="BO29" s="191"/>
      <c r="BP29" s="191"/>
      <c r="BQ29" s="191"/>
      <c r="BR29" s="191"/>
      <c r="BS29" s="192"/>
      <c r="BT29" s="193">
        <f t="shared" si="9"/>
        <v>0.17103698458487654</v>
      </c>
      <c r="BU29" s="194"/>
      <c r="BV29" s="194"/>
      <c r="BW29" s="194"/>
      <c r="BX29" s="194"/>
      <c r="BY29" s="162">
        <f t="shared" si="19"/>
        <v>1.4419221291650139</v>
      </c>
      <c r="BZ29" s="157"/>
      <c r="CA29" s="158"/>
      <c r="CB29" s="182">
        <f t="shared" si="25"/>
        <v>29.978878653651304</v>
      </c>
      <c r="CC29" s="182"/>
      <c r="CD29" s="182"/>
      <c r="CE29" s="183"/>
      <c r="CF29" s="184">
        <f t="shared" si="10"/>
        <v>0.90165999999999991</v>
      </c>
      <c r="CG29" s="182"/>
      <c r="CH29" s="182"/>
      <c r="CI29" s="182"/>
      <c r="CJ29" s="182">
        <f t="shared" si="11"/>
        <v>33.148628240000001</v>
      </c>
      <c r="CK29" s="182"/>
      <c r="CL29" s="182"/>
      <c r="CM29" s="183"/>
      <c r="CN29" s="178">
        <f t="shared" si="23"/>
        <v>0.91</v>
      </c>
      <c r="CO29" s="157"/>
      <c r="CP29" s="157"/>
      <c r="CQ29" s="158"/>
      <c r="CR29" s="182" t="str">
        <f t="shared" si="0"/>
        <v>Sıvılaşma Beklenir</v>
      </c>
      <c r="CS29" s="182"/>
      <c r="CT29" s="182"/>
      <c r="CU29" s="182"/>
      <c r="CV29" s="182"/>
      <c r="CW29" s="182"/>
      <c r="CX29" s="182"/>
      <c r="CY29" s="182"/>
      <c r="CZ29" s="182"/>
      <c r="DA29" s="182"/>
      <c r="DB29" s="183"/>
      <c r="DC29" s="156">
        <f t="shared" si="12"/>
        <v>0.79999999999999982</v>
      </c>
      <c r="DD29" s="157"/>
      <c r="DE29" s="157"/>
      <c r="DF29" s="158"/>
      <c r="DG29" s="178">
        <f t="shared" si="13"/>
        <v>5.0999999999999996</v>
      </c>
      <c r="DH29" s="157"/>
      <c r="DI29" s="157"/>
      <c r="DJ29" s="157"/>
      <c r="DK29" s="162">
        <f t="shared" si="14"/>
        <v>8.9999999999999969E-2</v>
      </c>
      <c r="DL29" s="157"/>
      <c r="DM29" s="157"/>
      <c r="DN29" s="158"/>
      <c r="DO29" s="162">
        <f t="shared" si="21"/>
        <v>0.36719999999999975</v>
      </c>
      <c r="DP29" s="157"/>
      <c r="DQ29" s="157"/>
      <c r="DR29" s="157"/>
      <c r="DS29" s="163"/>
      <c r="DT29" s="156">
        <f t="shared" si="15"/>
        <v>0.79999999999999982</v>
      </c>
      <c r="DU29" s="157"/>
      <c r="DV29" s="157"/>
      <c r="DW29" s="158"/>
      <c r="DX29" s="162">
        <f t="shared" si="16"/>
        <v>5.0999999999999996</v>
      </c>
      <c r="DY29" s="157"/>
      <c r="DZ29" s="157"/>
      <c r="EA29" s="158"/>
      <c r="EB29" s="162">
        <f t="shared" si="17"/>
        <v>0.55988591990703918</v>
      </c>
      <c r="EC29" s="157"/>
      <c r="ED29" s="157"/>
      <c r="EE29" s="158"/>
      <c r="EF29" s="162">
        <f t="shared" si="18"/>
        <v>2.2843345532207193</v>
      </c>
      <c r="EG29" s="157"/>
      <c r="EH29" s="157"/>
      <c r="EI29" s="157"/>
      <c r="EJ29" s="175"/>
      <c r="EV29" s="50"/>
      <c r="EW29" s="50"/>
      <c r="EX29" s="50"/>
      <c r="EY29" s="24"/>
      <c r="HS29" s="52">
        <f t="shared" si="1"/>
        <v>0.88704791983101994</v>
      </c>
      <c r="HT29" s="53"/>
      <c r="HU29" s="53">
        <v>21</v>
      </c>
      <c r="HV29" s="53"/>
      <c r="HW29" s="53"/>
      <c r="HX29" s="53"/>
      <c r="HY29" s="54">
        <v>48</v>
      </c>
    </row>
    <row r="30" spans="2:233" ht="24.95" customHeight="1">
      <c r="B30" s="312" t="s">
        <v>142</v>
      </c>
      <c r="C30" s="313"/>
      <c r="D30" s="313"/>
      <c r="E30" s="198">
        <v>11</v>
      </c>
      <c r="F30" s="199"/>
      <c r="G30" s="199"/>
      <c r="H30" s="200"/>
      <c r="I30" s="208">
        <v>20</v>
      </c>
      <c r="J30" s="208"/>
      <c r="K30" s="208"/>
      <c r="L30" s="206"/>
      <c r="M30" s="207"/>
      <c r="N30" s="207"/>
      <c r="O30" s="207"/>
      <c r="P30" s="207"/>
      <c r="Q30" s="198"/>
      <c r="R30" s="199"/>
      <c r="S30" s="199"/>
      <c r="T30" s="199"/>
      <c r="U30" s="200"/>
      <c r="V30" s="201"/>
      <c r="W30" s="202"/>
      <c r="X30" s="202"/>
      <c r="Y30" s="203"/>
      <c r="Z30" s="201"/>
      <c r="AA30" s="202"/>
      <c r="AB30" s="203"/>
      <c r="AC30" s="201">
        <v>19</v>
      </c>
      <c r="AD30" s="202"/>
      <c r="AE30" s="203"/>
      <c r="AF30" s="201">
        <v>20</v>
      </c>
      <c r="AG30" s="202"/>
      <c r="AH30" s="203"/>
      <c r="AI30" s="204">
        <v>21</v>
      </c>
      <c r="AJ30" s="205"/>
      <c r="AK30" s="205"/>
      <c r="AL30" s="205"/>
      <c r="AM30" s="314">
        <f t="shared" si="3"/>
        <v>218</v>
      </c>
      <c r="AN30" s="185"/>
      <c r="AO30" s="185"/>
      <c r="AP30" s="185"/>
      <c r="AQ30" s="185">
        <f t="shared" si="24"/>
        <v>129.70999999999998</v>
      </c>
      <c r="AR30" s="185"/>
      <c r="AS30" s="185"/>
      <c r="AT30" s="185"/>
      <c r="AU30" s="162">
        <f t="shared" si="4"/>
        <v>0.85872108192266472</v>
      </c>
      <c r="AV30" s="157"/>
      <c r="AW30" s="158"/>
      <c r="AX30" s="186">
        <f t="shared" si="5"/>
        <v>1</v>
      </c>
      <c r="AY30" s="187"/>
      <c r="AZ30" s="188"/>
      <c r="BA30" s="182">
        <f t="shared" si="6"/>
        <v>1</v>
      </c>
      <c r="BB30" s="182"/>
      <c r="BC30" s="182"/>
      <c r="BD30" s="182">
        <f t="shared" si="7"/>
        <v>1</v>
      </c>
      <c r="BE30" s="182"/>
      <c r="BF30" s="182"/>
      <c r="BG30" s="182">
        <f t="shared" si="2"/>
        <v>1</v>
      </c>
      <c r="BH30" s="182"/>
      <c r="BI30" s="182"/>
      <c r="BJ30" s="189">
        <f t="shared" si="26"/>
        <v>17.174421638453296</v>
      </c>
      <c r="BK30" s="189"/>
      <c r="BL30" s="189"/>
      <c r="BM30" s="189"/>
      <c r="BN30" s="190">
        <f t="shared" si="22"/>
        <v>22.433314666755891</v>
      </c>
      <c r="BO30" s="191"/>
      <c r="BP30" s="191"/>
      <c r="BQ30" s="191"/>
      <c r="BR30" s="191"/>
      <c r="BS30" s="192"/>
      <c r="BT30" s="193">
        <f t="shared" si="9"/>
        <v>0.24831716473893084</v>
      </c>
      <c r="BU30" s="194"/>
      <c r="BV30" s="194"/>
      <c r="BW30" s="194"/>
      <c r="BX30" s="194"/>
      <c r="BY30" s="162">
        <f t="shared" si="19"/>
        <v>1.4419221291650139</v>
      </c>
      <c r="BZ30" s="157"/>
      <c r="CA30" s="158"/>
      <c r="CB30" s="182">
        <f t="shared" si="25"/>
        <v>46.443186271197533</v>
      </c>
      <c r="CC30" s="182"/>
      <c r="CD30" s="182"/>
      <c r="CE30" s="183"/>
      <c r="CF30" s="184">
        <f t="shared" si="10"/>
        <v>0.88029999999999986</v>
      </c>
      <c r="CG30" s="182"/>
      <c r="CH30" s="182"/>
      <c r="CI30" s="182"/>
      <c r="CJ30" s="182">
        <f t="shared" si="11"/>
        <v>34.926782799999998</v>
      </c>
      <c r="CK30" s="182"/>
      <c r="CL30" s="182"/>
      <c r="CM30" s="183"/>
      <c r="CN30" s="178">
        <f t="shared" si="23"/>
        <v>1.33</v>
      </c>
      <c r="CO30" s="157"/>
      <c r="CP30" s="157"/>
      <c r="CQ30" s="158"/>
      <c r="CR30" s="182" t="str">
        <f t="shared" si="0"/>
        <v>Sıvılaşma Yok</v>
      </c>
      <c r="CS30" s="182"/>
      <c r="CT30" s="182"/>
      <c r="CU30" s="182"/>
      <c r="CV30" s="182"/>
      <c r="CW30" s="182"/>
      <c r="CX30" s="182"/>
      <c r="CY30" s="182"/>
      <c r="CZ30" s="182"/>
      <c r="DA30" s="182"/>
      <c r="DB30" s="183"/>
      <c r="DC30" s="156" t="str">
        <f t="shared" si="12"/>
        <v>-</v>
      </c>
      <c r="DD30" s="157"/>
      <c r="DE30" s="157"/>
      <c r="DF30" s="158"/>
      <c r="DG30" s="178" t="str">
        <f t="shared" si="13"/>
        <v>-</v>
      </c>
      <c r="DH30" s="157"/>
      <c r="DI30" s="157"/>
      <c r="DJ30" s="157"/>
      <c r="DK30" s="162" t="str">
        <f t="shared" si="14"/>
        <v>-</v>
      </c>
      <c r="DL30" s="157"/>
      <c r="DM30" s="157"/>
      <c r="DN30" s="158"/>
      <c r="DO30" s="162" t="str">
        <f t="shared" si="21"/>
        <v>-</v>
      </c>
      <c r="DP30" s="157"/>
      <c r="DQ30" s="157"/>
      <c r="DR30" s="157"/>
      <c r="DS30" s="163"/>
      <c r="DT30" s="156">
        <f t="shared" si="15"/>
        <v>1.1500000000000004</v>
      </c>
      <c r="DU30" s="157"/>
      <c r="DV30" s="157"/>
      <c r="DW30" s="158"/>
      <c r="DX30" s="162">
        <f t="shared" si="16"/>
        <v>4.7</v>
      </c>
      <c r="DY30" s="157"/>
      <c r="DZ30" s="157"/>
      <c r="EA30" s="158"/>
      <c r="EB30" s="162">
        <f t="shared" si="17"/>
        <v>0.18739838557395885</v>
      </c>
      <c r="EC30" s="157"/>
      <c r="ED30" s="157"/>
      <c r="EE30" s="158"/>
      <c r="EF30" s="162">
        <f t="shared" si="18"/>
        <v>1.012888274027248</v>
      </c>
      <c r="EG30" s="157"/>
      <c r="EH30" s="157"/>
      <c r="EI30" s="157"/>
      <c r="EJ30" s="175"/>
      <c r="EV30" s="50"/>
      <c r="EW30" s="50"/>
      <c r="EX30" s="50"/>
      <c r="EY30" s="24"/>
      <c r="HS30" s="52">
        <f t="shared" si="1"/>
        <v>0.85872108192266472</v>
      </c>
      <c r="HT30" s="53"/>
      <c r="HU30" s="53">
        <v>25</v>
      </c>
      <c r="HV30" s="53"/>
      <c r="HW30" s="53"/>
      <c r="HX30" s="53"/>
      <c r="HY30" s="54">
        <v>48</v>
      </c>
    </row>
    <row r="31" spans="2:233" ht="24.95" customHeight="1" thickBot="1">
      <c r="B31" s="318" t="s">
        <v>143</v>
      </c>
      <c r="C31" s="319"/>
      <c r="D31" s="319"/>
      <c r="E31" s="315">
        <v>12.5</v>
      </c>
      <c r="F31" s="316"/>
      <c r="G31" s="316"/>
      <c r="H31" s="317"/>
      <c r="I31" s="320">
        <v>20</v>
      </c>
      <c r="J31" s="320"/>
      <c r="K31" s="320"/>
      <c r="L31" s="206"/>
      <c r="M31" s="207"/>
      <c r="N31" s="207"/>
      <c r="O31" s="207"/>
      <c r="P31" s="207"/>
      <c r="Q31" s="198"/>
      <c r="R31" s="199"/>
      <c r="S31" s="199"/>
      <c r="T31" s="199"/>
      <c r="U31" s="200"/>
      <c r="V31" s="201"/>
      <c r="W31" s="202"/>
      <c r="X31" s="202"/>
      <c r="Y31" s="203"/>
      <c r="Z31" s="201"/>
      <c r="AA31" s="202"/>
      <c r="AB31" s="203"/>
      <c r="AC31" s="321">
        <v>19</v>
      </c>
      <c r="AD31" s="322"/>
      <c r="AE31" s="323"/>
      <c r="AF31" s="321">
        <v>20</v>
      </c>
      <c r="AG31" s="322"/>
      <c r="AH31" s="323"/>
      <c r="AI31" s="204">
        <v>90</v>
      </c>
      <c r="AJ31" s="205"/>
      <c r="AK31" s="205"/>
      <c r="AL31" s="205"/>
      <c r="AM31" s="314">
        <f t="shared" si="3"/>
        <v>248</v>
      </c>
      <c r="AN31" s="185"/>
      <c r="AO31" s="185"/>
      <c r="AP31" s="185"/>
      <c r="AQ31" s="185">
        <f t="shared" si="24"/>
        <v>144.995</v>
      </c>
      <c r="AR31" s="185"/>
      <c r="AS31" s="185"/>
      <c r="AT31" s="185"/>
      <c r="AU31" s="162">
        <f t="shared" si="4"/>
        <v>0.81219879651782434</v>
      </c>
      <c r="AV31" s="157"/>
      <c r="AW31" s="158"/>
      <c r="AX31" s="186">
        <f t="shared" si="5"/>
        <v>1</v>
      </c>
      <c r="AY31" s="187"/>
      <c r="AZ31" s="188"/>
      <c r="BA31" s="182">
        <f t="shared" si="6"/>
        <v>1</v>
      </c>
      <c r="BB31" s="182"/>
      <c r="BC31" s="182"/>
      <c r="BD31" s="182">
        <f t="shared" si="7"/>
        <v>1</v>
      </c>
      <c r="BE31" s="182"/>
      <c r="BF31" s="182"/>
      <c r="BG31" s="182">
        <f t="shared" si="2"/>
        <v>1</v>
      </c>
      <c r="BH31" s="182"/>
      <c r="BI31" s="182"/>
      <c r="BJ31" s="189">
        <f t="shared" si="26"/>
        <v>16.243975930356488</v>
      </c>
      <c r="BK31" s="189"/>
      <c r="BL31" s="189"/>
      <c r="BM31" s="189"/>
      <c r="BN31" s="190">
        <f t="shared" si="22"/>
        <v>24.492771116427786</v>
      </c>
      <c r="BO31" s="191"/>
      <c r="BP31" s="191"/>
      <c r="BQ31" s="191"/>
      <c r="BR31" s="191"/>
      <c r="BS31" s="192"/>
      <c r="BT31" s="193">
        <f t="shared" si="9"/>
        <v>0.28220588139218372</v>
      </c>
      <c r="BU31" s="194"/>
      <c r="BV31" s="194"/>
      <c r="BW31" s="194"/>
      <c r="BX31" s="194"/>
      <c r="BY31" s="162">
        <f t="shared" si="19"/>
        <v>1.4419221291650139</v>
      </c>
      <c r="BZ31" s="157"/>
      <c r="CA31" s="158"/>
      <c r="CB31" s="182">
        <f t="shared" si="25"/>
        <v>59.001206682659706</v>
      </c>
      <c r="CC31" s="182"/>
      <c r="CD31" s="182"/>
      <c r="CE31" s="183"/>
      <c r="CF31" s="184">
        <f t="shared" si="10"/>
        <v>0.84024999999999994</v>
      </c>
      <c r="CG31" s="182"/>
      <c r="CH31" s="182"/>
      <c r="CI31" s="182"/>
      <c r="CJ31" s="182">
        <f t="shared" si="11"/>
        <v>37.925524000000003</v>
      </c>
      <c r="CK31" s="182"/>
      <c r="CL31" s="182"/>
      <c r="CM31" s="183"/>
      <c r="CN31" s="178">
        <f>IF(I31="","",IF(AND($BL$9="DTS - 4",Z31&gt;20,V31&gt;10),"-",IF(AND($BL$9="DTS - 4",AI31&gt;35,BJ31&gt;20),"-",IF(V31&gt;=12,"-",IF(E31&lt;=$BC$8,"-",IF(BJ31&gt;30,"-",IF(BN31&gt;=34,"-",ROUNDUP((CB31/CJ31),2))))))))</f>
        <v>1.56</v>
      </c>
      <c r="CO31" s="157"/>
      <c r="CP31" s="157"/>
      <c r="CQ31" s="158"/>
      <c r="CR31" s="182" t="str">
        <f t="shared" si="0"/>
        <v>Sıvılaşma Yok</v>
      </c>
      <c r="CS31" s="182"/>
      <c r="CT31" s="182"/>
      <c r="CU31" s="182"/>
      <c r="CV31" s="182"/>
      <c r="CW31" s="182"/>
      <c r="CX31" s="182"/>
      <c r="CY31" s="182"/>
      <c r="CZ31" s="182"/>
      <c r="DA31" s="182"/>
      <c r="DB31" s="183"/>
      <c r="DC31" s="156" t="str">
        <f t="shared" si="12"/>
        <v>-</v>
      </c>
      <c r="DD31" s="157"/>
      <c r="DE31" s="157"/>
      <c r="DF31" s="158"/>
      <c r="DG31" s="178" t="str">
        <f t="shared" si="13"/>
        <v>-</v>
      </c>
      <c r="DH31" s="157"/>
      <c r="DI31" s="157"/>
      <c r="DJ31" s="157"/>
      <c r="DK31" s="162" t="str">
        <f t="shared" si="14"/>
        <v>-</v>
      </c>
      <c r="DL31" s="157"/>
      <c r="DM31" s="157"/>
      <c r="DN31" s="158"/>
      <c r="DO31" s="162" t="str">
        <f t="shared" si="21"/>
        <v>-</v>
      </c>
      <c r="DP31" s="157"/>
      <c r="DQ31" s="157"/>
      <c r="DR31" s="157"/>
      <c r="DS31" s="163"/>
      <c r="DT31" s="156" t="str">
        <f t="shared" si="15"/>
        <v>-</v>
      </c>
      <c r="DU31" s="157"/>
      <c r="DV31" s="157"/>
      <c r="DW31" s="158"/>
      <c r="DX31" s="162" t="str">
        <f t="shared" si="16"/>
        <v>-</v>
      </c>
      <c r="DY31" s="157"/>
      <c r="DZ31" s="157"/>
      <c r="EA31" s="158"/>
      <c r="EB31" s="162" t="str">
        <f t="shared" si="17"/>
        <v>-</v>
      </c>
      <c r="EC31" s="157"/>
      <c r="ED31" s="157"/>
      <c r="EE31" s="158"/>
      <c r="EF31" s="162" t="str">
        <f t="shared" si="18"/>
        <v>-</v>
      </c>
      <c r="EG31" s="157"/>
      <c r="EH31" s="157"/>
      <c r="EI31" s="157"/>
      <c r="EJ31" s="175"/>
      <c r="EV31" s="50"/>
      <c r="EW31" s="50"/>
      <c r="EX31" s="50"/>
      <c r="EY31" s="24"/>
      <c r="HS31" s="52">
        <f t="shared" si="1"/>
        <v>0.81219879651782434</v>
      </c>
      <c r="HT31" s="53"/>
      <c r="HU31" s="53">
        <v>30</v>
      </c>
      <c r="HV31" s="53"/>
      <c r="HW31" s="53"/>
      <c r="HX31" s="53"/>
      <c r="HY31" s="54">
        <v>48</v>
      </c>
    </row>
    <row r="32" spans="2:233" ht="4.9000000000000004" hidden="1" customHeight="1" thickBot="1">
      <c r="B32" s="176"/>
      <c r="C32" s="177"/>
      <c r="D32" s="177"/>
      <c r="E32" s="179"/>
      <c r="F32" s="179"/>
      <c r="G32" s="179"/>
      <c r="H32" s="179"/>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1"/>
      <c r="DC32" s="135"/>
      <c r="DD32" s="135"/>
      <c r="DE32" s="135"/>
      <c r="DF32" s="135"/>
      <c r="DG32" s="132"/>
      <c r="DH32" s="133"/>
      <c r="DI32" s="133"/>
      <c r="DJ32" s="133"/>
      <c r="DK32" s="133"/>
      <c r="DL32" s="133"/>
      <c r="DM32" s="133"/>
      <c r="DN32" s="133"/>
      <c r="DO32" s="133"/>
      <c r="DP32" s="133"/>
      <c r="DQ32" s="133"/>
      <c r="DR32" s="133"/>
      <c r="DS32" s="134"/>
      <c r="DT32" s="131"/>
      <c r="DU32" s="130"/>
      <c r="DV32" s="130"/>
      <c r="DW32" s="130"/>
      <c r="DX32" s="133"/>
      <c r="DY32" s="133"/>
      <c r="DZ32" s="133"/>
      <c r="EA32" s="133"/>
      <c r="EB32" s="133"/>
      <c r="EC32" s="133"/>
      <c r="ED32" s="133"/>
      <c r="EE32" s="133"/>
      <c r="EF32" s="133"/>
      <c r="EG32" s="133"/>
      <c r="EH32" s="133"/>
      <c r="EI32" s="133"/>
      <c r="EJ32" s="134"/>
      <c r="EV32" s="50"/>
      <c r="EW32" s="50"/>
      <c r="EX32" s="50"/>
      <c r="EY32" s="24"/>
      <c r="HS32" s="52"/>
      <c r="HT32" s="53"/>
      <c r="HU32" s="53"/>
      <c r="HV32" s="53"/>
      <c r="HW32" s="53"/>
      <c r="HX32" s="53"/>
      <c r="HY32" s="54"/>
    </row>
    <row r="33" spans="2:233" ht="24.95" customHeight="1" thickTop="1" thickBot="1">
      <c r="B33" s="338" t="s">
        <v>206</v>
      </c>
      <c r="C33" s="339"/>
      <c r="D33" s="340"/>
      <c r="E33" s="341">
        <v>14</v>
      </c>
      <c r="F33" s="342"/>
      <c r="G33" s="342"/>
      <c r="H33" s="343"/>
      <c r="I33" s="355" t="s">
        <v>325</v>
      </c>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6"/>
      <c r="AM33" s="336"/>
      <c r="AN33" s="337"/>
      <c r="AO33" s="337"/>
      <c r="AP33" s="337"/>
      <c r="AQ33" s="337"/>
      <c r="AR33" s="337"/>
      <c r="AS33" s="337"/>
      <c r="AT33" s="337"/>
      <c r="AU33" s="324"/>
      <c r="AV33" s="324"/>
      <c r="AW33" s="324"/>
      <c r="AX33" s="360"/>
      <c r="AY33" s="361"/>
      <c r="AZ33" s="362"/>
      <c r="BA33" s="324"/>
      <c r="BB33" s="324"/>
      <c r="BC33" s="324"/>
      <c r="BD33" s="324"/>
      <c r="BE33" s="324"/>
      <c r="BF33" s="324"/>
      <c r="BG33" s="324"/>
      <c r="BH33" s="324"/>
      <c r="BI33" s="324"/>
      <c r="BJ33" s="325"/>
      <c r="BK33" s="325"/>
      <c r="BL33" s="325"/>
      <c r="BM33" s="325"/>
      <c r="BN33" s="327"/>
      <c r="BO33" s="328"/>
      <c r="BP33" s="328"/>
      <c r="BQ33" s="328"/>
      <c r="BR33" s="328"/>
      <c r="BS33" s="329"/>
      <c r="BT33" s="346"/>
      <c r="BU33" s="324"/>
      <c r="BV33" s="324"/>
      <c r="BW33" s="324"/>
      <c r="BX33" s="324"/>
      <c r="BY33" s="344"/>
      <c r="BZ33" s="345"/>
      <c r="CA33" s="346"/>
      <c r="CB33" s="324"/>
      <c r="CC33" s="324"/>
      <c r="CD33" s="324"/>
      <c r="CE33" s="359"/>
      <c r="CF33" s="326"/>
      <c r="CG33" s="324"/>
      <c r="CH33" s="324"/>
      <c r="CI33" s="324"/>
      <c r="CJ33" s="324"/>
      <c r="CK33" s="324"/>
      <c r="CL33" s="324"/>
      <c r="CM33" s="359"/>
      <c r="CN33" s="354"/>
      <c r="CO33" s="345"/>
      <c r="CP33" s="345"/>
      <c r="CQ33" s="346"/>
      <c r="CR33" s="324"/>
      <c r="CS33" s="324"/>
      <c r="CT33" s="324"/>
      <c r="CU33" s="324"/>
      <c r="CV33" s="324"/>
      <c r="CW33" s="324"/>
      <c r="CX33" s="324"/>
      <c r="CY33" s="324"/>
      <c r="CZ33" s="324"/>
      <c r="DA33" s="324"/>
      <c r="DB33" s="359"/>
      <c r="DC33" s="159" t="s">
        <v>334</v>
      </c>
      <c r="DD33" s="160"/>
      <c r="DE33" s="160"/>
      <c r="DF33" s="161"/>
      <c r="DG33" s="154" t="s">
        <v>335</v>
      </c>
      <c r="DH33" s="155"/>
      <c r="DI33" s="155"/>
      <c r="DJ33" s="150">
        <f>SUM(DO17:DS31)</f>
        <v>14.022774999999999</v>
      </c>
      <c r="DK33" s="150"/>
      <c r="DL33" s="151"/>
      <c r="DM33" s="348" t="str">
        <f>IF(DJ33=0,"Çok Düşük",IF(DJ33&lt;=5,"Düşük",IF(DJ33&lt;=15,"Yüksek",IF(DJ33&gt;15,"Çok Yüksek"))))</f>
        <v>Yüksek</v>
      </c>
      <c r="DN33" s="349"/>
      <c r="DO33" s="349"/>
      <c r="DP33" s="349"/>
      <c r="DQ33" s="349"/>
      <c r="DR33" s="349"/>
      <c r="DS33" s="350"/>
      <c r="DT33" s="347" t="s">
        <v>333</v>
      </c>
      <c r="DU33" s="160"/>
      <c r="DV33" s="160"/>
      <c r="DW33" s="161"/>
      <c r="DX33" s="152" t="s">
        <v>336</v>
      </c>
      <c r="DY33" s="153"/>
      <c r="DZ33" s="153"/>
      <c r="EA33" s="150">
        <f>SUM(EF17:EJ31)</f>
        <v>39.414824144399212</v>
      </c>
      <c r="EB33" s="150"/>
      <c r="EC33" s="151"/>
      <c r="ED33" s="351" t="str">
        <f>IF(EA33=0,"Sıvılaşma Yok",IF(EA33&lt;15,"Çok Düşük",IF(EA33&lt;35,"Düşük",IF(EA33&lt;65,"Orta",IF(EA33&lt;85,"Yüksek",IF(EA33&lt;100,"Çok Yüksek","-"))))))</f>
        <v>Orta</v>
      </c>
      <c r="EE33" s="352"/>
      <c r="EF33" s="352"/>
      <c r="EG33" s="352"/>
      <c r="EH33" s="352"/>
      <c r="EI33" s="352"/>
      <c r="EJ33" s="353"/>
      <c r="EL33" s="60"/>
      <c r="EM33" s="60"/>
      <c r="EN33" s="60"/>
      <c r="EO33" s="24"/>
      <c r="EP33" s="39"/>
      <c r="EQ33" s="39"/>
      <c r="ER33" s="39"/>
      <c r="HS33" s="55" t="e">
        <f t="shared" si="1"/>
        <v>#DIV/0!</v>
      </c>
      <c r="HT33" s="56"/>
      <c r="HU33" s="56">
        <v>30</v>
      </c>
      <c r="HV33" s="56"/>
      <c r="HW33" s="56"/>
      <c r="HX33" s="56"/>
      <c r="HY33" s="57">
        <v>48</v>
      </c>
    </row>
    <row r="34" spans="2:233" s="5" customFormat="1" ht="3" customHeight="1">
      <c r="B34" s="65"/>
      <c r="C34" s="11"/>
      <c r="D34" s="11"/>
      <c r="E34" s="12"/>
      <c r="F34" s="12"/>
      <c r="G34" s="12"/>
      <c r="H34" s="12"/>
      <c r="I34" s="13"/>
      <c r="J34" s="13"/>
      <c r="K34" s="13"/>
      <c r="L34" s="13"/>
      <c r="M34" s="13"/>
      <c r="N34" s="13"/>
      <c r="O34" s="13"/>
      <c r="P34" s="13"/>
      <c r="Q34" s="12"/>
      <c r="R34" s="12"/>
      <c r="S34" s="12"/>
      <c r="T34" s="12"/>
      <c r="U34" s="12"/>
      <c r="V34" s="14"/>
      <c r="W34" s="14"/>
      <c r="X34" s="14"/>
      <c r="Y34" s="14"/>
      <c r="Z34" s="15"/>
      <c r="AA34" s="15"/>
      <c r="AB34" s="15"/>
      <c r="AC34" s="15"/>
      <c r="AD34" s="15"/>
      <c r="AE34" s="15"/>
      <c r="AF34" s="15"/>
      <c r="AG34" s="15"/>
      <c r="AH34" s="15"/>
      <c r="AI34" s="15"/>
      <c r="AJ34" s="15"/>
      <c r="AK34" s="15"/>
      <c r="AL34" s="15"/>
      <c r="AM34" s="12"/>
      <c r="AN34" s="12"/>
      <c r="AO34" s="12"/>
      <c r="AP34" s="12"/>
      <c r="AQ34" s="12"/>
      <c r="AR34" s="12"/>
      <c r="AS34" s="12"/>
      <c r="AT34" s="12"/>
      <c r="AU34" s="16"/>
      <c r="AV34" s="16"/>
      <c r="AW34" s="16"/>
      <c r="AX34" s="17"/>
      <c r="AY34" s="17"/>
      <c r="AZ34" s="17"/>
      <c r="BA34" s="16"/>
      <c r="BB34" s="16"/>
      <c r="BC34" s="16"/>
      <c r="BD34" s="16"/>
      <c r="BE34" s="16"/>
      <c r="BF34" s="16"/>
      <c r="BG34" s="16"/>
      <c r="BH34" s="16"/>
      <c r="BI34" s="16"/>
      <c r="BJ34" s="18"/>
      <c r="BK34" s="18"/>
      <c r="BL34" s="18"/>
      <c r="BM34" s="18"/>
      <c r="BN34" s="18"/>
      <c r="BO34" s="18"/>
      <c r="BP34" s="18"/>
      <c r="BQ34" s="18"/>
      <c r="BR34" s="18"/>
      <c r="BS34" s="18"/>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9"/>
      <c r="DH34" s="19"/>
      <c r="DI34" s="19"/>
      <c r="DJ34" s="19"/>
      <c r="DK34" s="19"/>
      <c r="DL34" s="19"/>
      <c r="DM34" s="19"/>
      <c r="DN34" s="19"/>
      <c r="DO34" s="19"/>
      <c r="DP34" s="19"/>
      <c r="DQ34" s="19"/>
      <c r="DR34" s="20"/>
      <c r="DS34" s="20"/>
      <c r="DT34" s="20"/>
      <c r="DU34" s="20"/>
      <c r="DV34" s="21"/>
      <c r="DW34" s="21"/>
      <c r="DX34" s="21"/>
      <c r="DY34" s="21"/>
      <c r="DZ34" s="22"/>
      <c r="EA34" s="22"/>
      <c r="EB34" s="22"/>
      <c r="EC34" s="22"/>
      <c r="ED34" s="21"/>
      <c r="EE34" s="21"/>
      <c r="EF34" s="21"/>
      <c r="EG34" s="21"/>
      <c r="EH34" s="23"/>
      <c r="EI34" s="23"/>
      <c r="EJ34" s="66"/>
      <c r="EK34" s="40"/>
      <c r="EL34" s="40"/>
      <c r="EM34" s="40"/>
      <c r="EN34" s="40"/>
      <c r="EO34" s="41"/>
      <c r="EP34" s="41"/>
      <c r="EQ34" s="41"/>
      <c r="ER34" s="41"/>
      <c r="ES34" s="41"/>
      <c r="ET34" s="41"/>
      <c r="EU34" s="41"/>
      <c r="EV34" s="41"/>
      <c r="EW34" s="24"/>
      <c r="HS34" s="24"/>
      <c r="HT34" s="24"/>
      <c r="HU34" s="24"/>
      <c r="HV34" s="24"/>
      <c r="HW34" s="24"/>
      <c r="HX34" s="24"/>
      <c r="HY34" s="24"/>
    </row>
    <row r="35" spans="2:233" s="5" customFormat="1" ht="15" customHeight="1">
      <c r="B35" s="330" t="s">
        <v>228</v>
      </c>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2"/>
      <c r="EK35" s="42"/>
      <c r="EL35" s="42"/>
      <c r="EM35" s="42"/>
      <c r="EN35" s="42"/>
      <c r="EO35" s="42"/>
      <c r="EP35" s="42"/>
      <c r="EQ35" s="42"/>
      <c r="ER35" s="42"/>
      <c r="ES35" s="42"/>
      <c r="ET35" s="42"/>
      <c r="EU35" s="42"/>
      <c r="EV35" s="42"/>
      <c r="EW35" s="24"/>
    </row>
    <row r="36" spans="2:233" s="5" customFormat="1" ht="15" customHeight="1" thickBot="1">
      <c r="B36" s="333"/>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c r="DO36" s="334"/>
      <c r="DP36" s="334"/>
      <c r="DQ36" s="334"/>
      <c r="DR36" s="334"/>
      <c r="DS36" s="334"/>
      <c r="DT36" s="334"/>
      <c r="DU36" s="334"/>
      <c r="DV36" s="334"/>
      <c r="DW36" s="334"/>
      <c r="DX36" s="334"/>
      <c r="DY36" s="334"/>
      <c r="DZ36" s="334"/>
      <c r="EA36" s="334"/>
      <c r="EB36" s="334"/>
      <c r="EC36" s="334"/>
      <c r="ED36" s="334"/>
      <c r="EE36" s="334"/>
      <c r="EF36" s="334"/>
      <c r="EG36" s="334"/>
      <c r="EH36" s="334"/>
      <c r="EI36" s="334"/>
      <c r="EJ36" s="335"/>
      <c r="EK36" s="42"/>
      <c r="EL36" s="42"/>
      <c r="EM36" s="42"/>
      <c r="EN36" s="42"/>
      <c r="EO36" s="42"/>
      <c r="EP36" s="42"/>
      <c r="EQ36" s="42"/>
      <c r="ER36" s="42"/>
      <c r="ES36" s="42"/>
      <c r="ET36" s="42"/>
      <c r="EU36" s="42"/>
      <c r="EV36" s="42"/>
    </row>
    <row r="37" spans="2:233" s="5" customFormat="1" ht="9.9499999999999993" customHeight="1" thickTop="1">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c r="BT37" s="357"/>
      <c r="BU37" s="357"/>
      <c r="BV37" s="357"/>
      <c r="BW37" s="357"/>
      <c r="BX37" s="357"/>
      <c r="BY37" s="357"/>
      <c r="BZ37" s="357"/>
      <c r="CA37" s="357"/>
      <c r="CB37" s="357"/>
      <c r="CC37" s="357"/>
      <c r="CD37" s="357"/>
      <c r="CE37" s="357"/>
      <c r="CF37" s="357"/>
      <c r="CG37" s="357"/>
      <c r="CH37" s="357"/>
      <c r="CI37" s="357"/>
      <c r="CJ37" s="357"/>
      <c r="CK37" s="357"/>
      <c r="CL37" s="357"/>
      <c r="CM37" s="357"/>
      <c r="CN37" s="357"/>
      <c r="CO37" s="357"/>
      <c r="CP37" s="357"/>
      <c r="CQ37" s="357"/>
      <c r="CR37" s="357"/>
      <c r="CS37" s="357"/>
      <c r="CT37" s="357"/>
      <c r="CU37" s="357"/>
      <c r="CV37" s="357"/>
      <c r="CW37" s="357"/>
      <c r="CX37" s="357"/>
      <c r="CY37" s="357"/>
      <c r="CZ37" s="357"/>
      <c r="DA37" s="357"/>
      <c r="DB37" s="357"/>
      <c r="DC37" s="357"/>
      <c r="DD37" s="357"/>
      <c r="DE37" s="357"/>
      <c r="DF37" s="357"/>
      <c r="DG37" s="357"/>
      <c r="DH37" s="357"/>
      <c r="DI37" s="357"/>
      <c r="DJ37" s="357"/>
      <c r="DK37" s="357"/>
      <c r="DL37" s="357"/>
      <c r="DM37" s="357"/>
      <c r="DN37" s="357"/>
      <c r="DO37" s="357"/>
      <c r="DP37" s="357"/>
      <c r="DQ37" s="357"/>
      <c r="DR37" s="357"/>
      <c r="DS37" s="357"/>
      <c r="DT37" s="357"/>
      <c r="DU37" s="357"/>
      <c r="DV37" s="357"/>
      <c r="DW37" s="357"/>
      <c r="DX37" s="357"/>
      <c r="DY37" s="357"/>
      <c r="DZ37" s="357"/>
      <c r="EA37" s="357"/>
      <c r="EB37" s="357"/>
      <c r="EC37" s="357"/>
      <c r="ED37" s="357"/>
      <c r="EE37" s="357"/>
      <c r="EF37" s="357"/>
      <c r="EG37" s="357"/>
      <c r="EH37" s="357"/>
      <c r="EI37" s="357"/>
      <c r="EJ37" s="357"/>
    </row>
    <row r="38" spans="2:233" s="5" customFormat="1">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358"/>
      <c r="DQ38" s="358"/>
      <c r="DR38" s="358"/>
      <c r="DS38" s="358"/>
      <c r="DT38" s="358"/>
      <c r="DU38" s="358"/>
      <c r="DV38" s="358"/>
      <c r="DW38" s="358"/>
      <c r="DX38" s="358"/>
      <c r="DY38" s="358"/>
      <c r="DZ38" s="358"/>
      <c r="EA38" s="358"/>
      <c r="EB38" s="358"/>
      <c r="EC38" s="358"/>
      <c r="ED38" s="358"/>
      <c r="EE38" s="358"/>
      <c r="EF38" s="358"/>
      <c r="EG38" s="358"/>
      <c r="EH38" s="358"/>
      <c r="EI38" s="358"/>
      <c r="EJ38" s="358"/>
    </row>
    <row r="39" spans="2:233" s="5" customFormat="1" ht="16.5" customHeight="1">
      <c r="AJ39" s="45"/>
      <c r="AK39" s="45"/>
      <c r="AL39" s="45"/>
      <c r="AM39" s="45"/>
      <c r="CU39" s="46"/>
      <c r="CV39" s="24"/>
      <c r="CW39" s="24"/>
      <c r="CX39" s="24"/>
      <c r="CY39" s="24"/>
      <c r="ED39" s="27"/>
      <c r="EE39" s="27"/>
      <c r="EF39" s="27"/>
      <c r="EG39" s="27"/>
      <c r="EH39" s="27"/>
      <c r="EI39" s="27"/>
      <c r="EJ39" s="27"/>
      <c r="EK39" s="27"/>
      <c r="EL39" s="27"/>
      <c r="EM39" s="27"/>
      <c r="EN39" s="27"/>
      <c r="EO39" s="27"/>
      <c r="EP39" s="27"/>
      <c r="EQ39" s="27"/>
      <c r="ER39" s="27"/>
      <c r="ES39" s="27"/>
      <c r="ET39" s="27"/>
      <c r="EU39" s="27"/>
      <c r="EV39" s="27"/>
      <c r="EW39" s="27"/>
    </row>
    <row r="40" spans="2:233" s="5" customFormat="1">
      <c r="AJ40" s="47"/>
      <c r="AK40" s="48"/>
      <c r="AL40" s="48"/>
      <c r="AM40" s="48"/>
      <c r="CU40" s="46"/>
      <c r="CV40" s="24"/>
      <c r="CW40" s="24"/>
      <c r="CX40" s="24"/>
      <c r="CY40" s="24"/>
      <c r="ED40" s="27"/>
      <c r="EE40" s="27"/>
      <c r="EF40" s="27"/>
      <c r="EG40" s="27"/>
      <c r="EH40" s="27"/>
      <c r="EI40" s="27"/>
      <c r="EJ40" s="27"/>
      <c r="EK40" s="27"/>
      <c r="EL40" s="27"/>
      <c r="EM40" s="27"/>
      <c r="EN40" s="27"/>
      <c r="EO40" s="27"/>
      <c r="EP40" s="27"/>
      <c r="EQ40" s="27"/>
      <c r="ER40" s="27"/>
      <c r="ES40" s="27"/>
      <c r="ET40" s="27"/>
      <c r="EU40" s="27"/>
      <c r="EV40" s="27"/>
      <c r="EW40" s="27"/>
    </row>
    <row r="41" spans="2:233" s="5" customFormat="1" ht="18.95" customHeight="1">
      <c r="AJ41" s="49"/>
      <c r="AK41" s="49"/>
      <c r="AL41" s="49"/>
      <c r="AM41" s="49"/>
      <c r="CU41" s="44"/>
      <c r="CV41" s="24"/>
      <c r="CW41" s="24"/>
      <c r="CX41" s="24"/>
      <c r="CY41" s="24"/>
      <c r="ED41" s="43"/>
      <c r="EE41" s="44"/>
      <c r="EF41" s="44"/>
      <c r="EG41" s="44"/>
      <c r="EH41" s="44"/>
      <c r="EI41" s="44"/>
      <c r="EJ41" s="44"/>
      <c r="EK41" s="44"/>
      <c r="EL41" s="44"/>
      <c r="EM41" s="44"/>
      <c r="EN41" s="44"/>
      <c r="EO41" s="44"/>
      <c r="EP41" s="44"/>
      <c r="EQ41" s="44"/>
      <c r="ER41" s="44"/>
      <c r="ES41" s="44"/>
      <c r="ET41" s="44"/>
      <c r="EU41" s="44"/>
      <c r="EV41" s="44"/>
      <c r="EW41" s="44"/>
    </row>
    <row r="42" spans="2:233" s="5" customFormat="1" ht="18.95" customHeight="1">
      <c r="AJ42" s="49"/>
      <c r="AK42" s="49"/>
      <c r="AL42" s="49"/>
      <c r="AM42" s="49"/>
      <c r="CU42" s="50"/>
      <c r="CV42" s="24"/>
      <c r="CW42" s="24"/>
      <c r="CX42" s="24"/>
      <c r="CY42" s="24"/>
      <c r="ED42" s="24"/>
      <c r="EE42" s="24"/>
      <c r="EF42" s="24"/>
      <c r="EG42" s="24"/>
      <c r="EH42" s="24"/>
      <c r="EI42" s="24"/>
      <c r="EJ42" s="24"/>
      <c r="EK42" s="24"/>
      <c r="EL42" s="24"/>
      <c r="EM42" s="24"/>
      <c r="EN42" s="24"/>
      <c r="EO42" s="24"/>
      <c r="EP42" s="24"/>
      <c r="EQ42" s="24"/>
      <c r="ER42" s="24"/>
      <c r="ES42" s="24"/>
      <c r="ET42" s="24"/>
      <c r="EU42" s="24"/>
      <c r="EV42" s="24"/>
      <c r="EW42" s="24"/>
    </row>
    <row r="43" spans="2:233" s="5" customFormat="1" ht="18.95" customHeight="1">
      <c r="AJ43" s="49"/>
      <c r="AK43" s="49"/>
      <c r="AL43" s="49"/>
      <c r="AM43" s="49"/>
      <c r="BW43" s="24"/>
      <c r="BX43" s="24"/>
      <c r="CD43" s="24"/>
      <c r="CE43" s="24"/>
      <c r="CU43" s="50"/>
      <c r="CV43" s="24"/>
      <c r="CW43" s="24"/>
      <c r="CX43" s="24"/>
      <c r="CY43" s="24"/>
      <c r="ED43" s="24"/>
      <c r="EE43" s="24"/>
      <c r="EF43" s="24"/>
      <c r="EG43" s="24"/>
      <c r="EH43" s="24"/>
      <c r="EI43" s="24"/>
      <c r="EJ43" s="24"/>
      <c r="EK43" s="24"/>
      <c r="EL43" s="24"/>
      <c r="EM43" s="24"/>
      <c r="EN43" s="24"/>
      <c r="EO43" s="24"/>
      <c r="EP43" s="24"/>
      <c r="EQ43" s="24"/>
      <c r="ER43" s="24"/>
      <c r="ES43" s="24"/>
      <c r="ET43" s="24"/>
      <c r="EU43" s="24"/>
      <c r="EV43" s="24"/>
      <c r="EW43" s="24"/>
    </row>
    <row r="44" spans="2:233" s="5" customFormat="1" ht="18.95" customHeight="1">
      <c r="AJ44" s="49"/>
      <c r="AK44" s="49"/>
      <c r="AL44" s="49"/>
      <c r="AM44" s="49"/>
      <c r="BW44" s="24"/>
      <c r="BX44" s="24"/>
      <c r="CD44" s="24"/>
      <c r="CE44" s="24"/>
      <c r="CU44" s="50"/>
      <c r="CV44" s="24"/>
      <c r="CW44" s="24"/>
      <c r="CX44" s="24"/>
      <c r="CY44" s="24"/>
      <c r="ED44" s="24"/>
      <c r="EE44" s="24"/>
      <c r="EF44" s="24"/>
      <c r="EG44" s="24"/>
      <c r="EH44" s="24"/>
      <c r="EI44" s="24"/>
      <c r="EJ44" s="24"/>
      <c r="EK44" s="24"/>
      <c r="EL44" s="24"/>
      <c r="EM44" s="24"/>
      <c r="EN44" s="24"/>
      <c r="EO44" s="24"/>
      <c r="EP44" s="24"/>
      <c r="EQ44" s="24"/>
      <c r="ER44" s="24"/>
      <c r="ES44" s="24"/>
      <c r="ET44" s="24"/>
      <c r="EU44" s="24"/>
      <c r="EV44" s="24"/>
      <c r="EW44" s="24"/>
    </row>
    <row r="45" spans="2:233" s="5" customFormat="1" ht="18.95" customHeight="1">
      <c r="AJ45" s="49"/>
      <c r="AK45" s="49"/>
      <c r="AL45" s="49"/>
      <c r="AM45" s="49"/>
      <c r="CU45" s="50"/>
      <c r="CV45" s="24"/>
      <c r="CW45" s="24"/>
      <c r="CX45" s="24"/>
      <c r="CY45" s="24"/>
      <c r="ED45" s="24"/>
      <c r="EE45" s="24"/>
      <c r="EF45" s="24"/>
      <c r="EG45" s="24"/>
      <c r="EH45" s="24"/>
      <c r="EI45" s="24"/>
      <c r="EJ45" s="24"/>
      <c r="EK45" s="24"/>
      <c r="EL45" s="24"/>
      <c r="EM45" s="24"/>
      <c r="EN45" s="24"/>
      <c r="EO45" s="24"/>
      <c r="EP45" s="24"/>
      <c r="EQ45" s="24"/>
      <c r="ER45" s="24"/>
      <c r="ES45" s="24"/>
      <c r="ET45" s="24"/>
      <c r="EU45" s="24"/>
      <c r="EV45" s="24"/>
      <c r="EW45" s="24"/>
    </row>
    <row r="46" spans="2:233" s="5" customFormat="1" ht="18.95" customHeight="1">
      <c r="AJ46" s="49"/>
      <c r="AK46" s="49"/>
      <c r="AL46" s="49"/>
      <c r="AM46" s="49"/>
      <c r="CU46" s="50"/>
      <c r="CV46" s="24"/>
      <c r="CW46" s="24"/>
      <c r="CX46" s="24"/>
      <c r="CY46" s="24"/>
      <c r="ED46" s="24"/>
      <c r="EE46" s="24"/>
      <c r="EF46" s="24"/>
      <c r="EG46" s="24"/>
      <c r="EH46" s="24"/>
      <c r="EI46" s="24"/>
      <c r="EJ46" s="24"/>
      <c r="EK46" s="24"/>
      <c r="EL46" s="24"/>
      <c r="EM46" s="24"/>
      <c r="EN46" s="24"/>
      <c r="EO46" s="24"/>
      <c r="EP46" s="24"/>
      <c r="EQ46" s="24"/>
      <c r="ER46" s="24"/>
      <c r="ES46" s="24"/>
      <c r="ET46" s="24"/>
      <c r="EU46" s="24"/>
      <c r="EV46" s="24"/>
      <c r="EW46" s="24"/>
    </row>
    <row r="47" spans="2:233" s="5" customFormat="1" ht="18.95" customHeight="1">
      <c r="AJ47" s="49"/>
      <c r="AK47" s="49"/>
      <c r="AL47" s="49"/>
      <c r="AM47" s="49"/>
      <c r="CU47" s="50"/>
      <c r="CV47" s="24"/>
      <c r="CW47" s="24"/>
      <c r="CX47" s="24"/>
      <c r="CY47" s="24"/>
      <c r="CZ47" s="24"/>
      <c r="DA47" s="24"/>
      <c r="DB47" s="24"/>
      <c r="DC47" s="24"/>
      <c r="DD47" s="24"/>
      <c r="DE47" s="24"/>
      <c r="DF47" s="24"/>
      <c r="ED47" s="24"/>
      <c r="EE47" s="24"/>
      <c r="EF47" s="24"/>
      <c r="EG47" s="24"/>
      <c r="EH47" s="24"/>
      <c r="EI47" s="24"/>
      <c r="EJ47" s="24"/>
      <c r="EK47" s="24"/>
      <c r="EL47" s="24"/>
      <c r="EM47" s="24"/>
      <c r="EN47" s="24"/>
      <c r="EO47" s="24"/>
      <c r="EP47" s="24"/>
      <c r="EQ47" s="24"/>
      <c r="ER47" s="24"/>
      <c r="ES47" s="24"/>
      <c r="ET47" s="24"/>
      <c r="EU47" s="24"/>
      <c r="EV47" s="24"/>
      <c r="EW47" s="24"/>
    </row>
    <row r="48" spans="2:233" s="5" customFormat="1" ht="18.95" customHeight="1">
      <c r="AJ48" s="49"/>
      <c r="AK48" s="49"/>
      <c r="AL48" s="49"/>
      <c r="AM48" s="49"/>
      <c r="CU48" s="50"/>
      <c r="CV48" s="24"/>
      <c r="CW48" s="24"/>
      <c r="CX48" s="24"/>
      <c r="CY48" s="24"/>
      <c r="CZ48" s="24"/>
      <c r="DA48" s="24"/>
      <c r="DB48" s="24"/>
      <c r="DC48" s="24"/>
      <c r="DD48" s="24"/>
      <c r="DE48" s="24"/>
      <c r="DF48" s="24"/>
      <c r="ED48" s="24"/>
      <c r="EE48" s="24"/>
      <c r="EF48" s="24"/>
      <c r="EG48" s="24"/>
      <c r="EH48" s="24"/>
      <c r="EI48" s="24"/>
      <c r="EJ48" s="24"/>
      <c r="EK48" s="24"/>
      <c r="EL48" s="24"/>
      <c r="EM48" s="24"/>
      <c r="EN48" s="24"/>
      <c r="EO48" s="24"/>
      <c r="EP48" s="24"/>
      <c r="EQ48" s="24"/>
      <c r="ER48" s="24"/>
      <c r="ES48" s="24"/>
      <c r="ET48" s="24"/>
      <c r="EU48" s="24"/>
      <c r="EV48" s="24"/>
      <c r="EW48" s="24"/>
    </row>
    <row r="49" spans="3:153" s="5" customFormat="1" ht="18.95" customHeight="1">
      <c r="AJ49" s="49"/>
      <c r="AK49" s="49"/>
      <c r="AL49" s="49"/>
      <c r="AM49" s="49"/>
      <c r="BW49" s="51"/>
      <c r="BX49" s="51"/>
      <c r="CD49" s="51"/>
      <c r="CE49" s="51"/>
      <c r="CU49" s="50"/>
      <c r="CV49" s="24"/>
      <c r="CW49" s="24"/>
      <c r="CX49" s="24"/>
      <c r="CY49" s="24"/>
      <c r="CZ49" s="24"/>
      <c r="DA49" s="24"/>
      <c r="DB49" s="24"/>
      <c r="DC49" s="24"/>
      <c r="DD49" s="24"/>
      <c r="DE49" s="24"/>
      <c r="DF49" s="24"/>
      <c r="ED49" s="24"/>
      <c r="EE49" s="24"/>
      <c r="EF49" s="24"/>
      <c r="EG49" s="24"/>
      <c r="EH49" s="24"/>
      <c r="EI49" s="24"/>
      <c r="EJ49" s="24"/>
      <c r="EK49" s="24"/>
      <c r="EL49" s="24"/>
      <c r="EM49" s="24"/>
      <c r="EN49" s="24"/>
      <c r="EO49" s="24"/>
      <c r="EP49" s="24"/>
      <c r="EQ49" s="24"/>
      <c r="ER49" s="24"/>
      <c r="ES49" s="24"/>
      <c r="ET49" s="24"/>
      <c r="EU49" s="24"/>
      <c r="EV49" s="24"/>
      <c r="EW49" s="24"/>
    </row>
    <row r="50" spans="3:153" s="5" customFormat="1" ht="18.95" customHeight="1">
      <c r="AJ50" s="49"/>
      <c r="AK50" s="49"/>
      <c r="AL50" s="49"/>
      <c r="AM50" s="49"/>
      <c r="BW50" s="51"/>
      <c r="BX50" s="51"/>
      <c r="CD50" s="51"/>
      <c r="CE50" s="51"/>
      <c r="CU50" s="50"/>
      <c r="CV50" s="24"/>
      <c r="CW50" s="24"/>
      <c r="CX50" s="24"/>
      <c r="CY50" s="24"/>
      <c r="CZ50" s="24"/>
      <c r="DA50" s="24"/>
      <c r="DB50" s="24"/>
      <c r="DC50" s="24"/>
      <c r="DD50" s="24"/>
      <c r="DE50" s="24"/>
      <c r="DF50" s="24"/>
      <c r="ED50" s="24"/>
      <c r="EE50" s="24"/>
      <c r="EF50" s="24"/>
      <c r="EG50" s="24"/>
      <c r="EH50" s="24"/>
      <c r="EI50" s="24"/>
      <c r="EJ50" s="24"/>
      <c r="EK50" s="24"/>
      <c r="EL50" s="24"/>
      <c r="EM50" s="24"/>
      <c r="EN50" s="24"/>
      <c r="EO50" s="24"/>
      <c r="EP50" s="24"/>
      <c r="EQ50" s="24"/>
      <c r="ER50" s="24"/>
      <c r="ES50" s="24"/>
      <c r="ET50" s="24"/>
      <c r="EU50" s="24"/>
      <c r="EV50" s="24"/>
      <c r="EW50" s="24"/>
    </row>
    <row r="51" spans="3:153" s="5" customFormat="1">
      <c r="O51" s="24"/>
      <c r="P51" s="24"/>
      <c r="Q51" s="24"/>
      <c r="R51" s="24"/>
      <c r="S51" s="24"/>
      <c r="T51" s="24"/>
      <c r="U51" s="24"/>
      <c r="V51" s="24"/>
      <c r="W51" s="24"/>
      <c r="X51" s="24"/>
      <c r="Y51" s="24"/>
      <c r="Z51" s="24"/>
      <c r="AA51" s="24"/>
      <c r="AB51" s="24"/>
      <c r="AJ51" s="49"/>
      <c r="AK51" s="49"/>
      <c r="AL51" s="49"/>
      <c r="AM51" s="49"/>
      <c r="BW51" s="24"/>
      <c r="BX51" s="24"/>
      <c r="CD51" s="24"/>
      <c r="CE51" s="24"/>
      <c r="CU51" s="50"/>
      <c r="CV51" s="24"/>
      <c r="CW51" s="24"/>
      <c r="CX51" s="24"/>
      <c r="CY51" s="24"/>
      <c r="CZ51" s="24"/>
      <c r="DA51" s="24"/>
      <c r="DB51" s="24"/>
      <c r="DC51" s="24"/>
      <c r="DD51" s="24"/>
      <c r="DE51" s="24"/>
      <c r="DF51" s="24"/>
      <c r="ED51" s="24"/>
      <c r="EE51" s="24"/>
      <c r="EF51" s="24"/>
      <c r="EG51" s="24"/>
      <c r="EH51" s="24"/>
      <c r="EI51" s="24"/>
      <c r="EJ51" s="24"/>
      <c r="EK51" s="24"/>
      <c r="EL51" s="24"/>
      <c r="EM51" s="24"/>
      <c r="EN51" s="24"/>
      <c r="EO51" s="24"/>
      <c r="EP51" s="24"/>
      <c r="EQ51" s="24"/>
      <c r="ER51" s="24"/>
      <c r="ES51" s="24"/>
      <c r="ET51" s="24"/>
      <c r="EU51" s="24"/>
      <c r="EV51" s="24"/>
      <c r="EW51" s="24"/>
    </row>
    <row r="52" spans="3:153" s="5" customFormat="1">
      <c r="C52" s="24"/>
      <c r="D52" s="24"/>
      <c r="H52" s="24"/>
      <c r="I52" s="24"/>
      <c r="J52" s="24"/>
      <c r="O52" s="24"/>
      <c r="P52" s="24"/>
      <c r="Q52" s="24"/>
      <c r="R52" s="24"/>
      <c r="S52" s="24"/>
      <c r="T52" s="24"/>
      <c r="U52" s="24"/>
      <c r="V52" s="24"/>
      <c r="W52" s="24"/>
      <c r="X52" s="24"/>
      <c r="Y52" s="24"/>
      <c r="Z52" s="24"/>
      <c r="AA52" s="24"/>
      <c r="AB52" s="24"/>
      <c r="AJ52" s="49"/>
      <c r="AK52" s="49"/>
      <c r="AL52" s="49"/>
      <c r="AM52" s="49"/>
      <c r="BW52" s="24"/>
      <c r="BX52" s="24"/>
      <c r="CD52" s="24"/>
      <c r="CE52" s="24"/>
      <c r="CU52" s="50"/>
      <c r="CV52" s="24"/>
      <c r="CW52" s="24"/>
      <c r="CX52" s="24"/>
      <c r="CY52" s="24"/>
      <c r="CZ52" s="24"/>
      <c r="DA52" s="24"/>
      <c r="DB52" s="24"/>
      <c r="DC52" s="24"/>
      <c r="DD52" s="24"/>
      <c r="DE52" s="24"/>
      <c r="DF52" s="24"/>
      <c r="DG52" s="24"/>
      <c r="DH52" s="24"/>
      <c r="DI52" s="24"/>
      <c r="ED52" s="24"/>
      <c r="EE52" s="24"/>
      <c r="EF52" s="24"/>
      <c r="EG52" s="24"/>
      <c r="EH52" s="24"/>
      <c r="EI52" s="24"/>
      <c r="EJ52" s="24"/>
      <c r="EK52" s="24"/>
      <c r="EL52" s="24"/>
      <c r="EM52" s="24"/>
      <c r="EN52" s="24"/>
      <c r="EO52" s="24"/>
      <c r="EP52" s="24"/>
      <c r="EQ52" s="24"/>
      <c r="ER52" s="24"/>
      <c r="ES52" s="24"/>
      <c r="ET52" s="24"/>
      <c r="EU52" s="24"/>
      <c r="EV52" s="24"/>
      <c r="EW52" s="24"/>
    </row>
    <row r="53" spans="3:153" s="5" customFormat="1">
      <c r="C53" s="24"/>
      <c r="D53" s="24"/>
      <c r="H53" s="24"/>
      <c r="I53" s="24"/>
      <c r="J53" s="24"/>
      <c r="O53" s="24"/>
      <c r="P53" s="24"/>
      <c r="Q53" s="24"/>
      <c r="R53" s="24"/>
      <c r="S53" s="24"/>
      <c r="T53" s="24"/>
      <c r="U53" s="24"/>
      <c r="V53" s="24"/>
      <c r="W53" s="24"/>
      <c r="X53" s="24"/>
      <c r="Y53" s="24"/>
      <c r="Z53" s="24"/>
      <c r="AA53" s="24"/>
      <c r="AB53" s="24"/>
      <c r="AJ53" s="49"/>
      <c r="AK53" s="49"/>
      <c r="AL53" s="49"/>
      <c r="AM53" s="49"/>
      <c r="BW53" s="24"/>
      <c r="BX53" s="24"/>
      <c r="CD53" s="24"/>
      <c r="CE53" s="24"/>
      <c r="CU53" s="50"/>
      <c r="CV53" s="24"/>
      <c r="CW53" s="24"/>
      <c r="CX53" s="24"/>
      <c r="CY53" s="24"/>
      <c r="CZ53" s="24"/>
      <c r="DA53" s="24"/>
      <c r="DB53" s="24"/>
      <c r="DC53" s="24"/>
      <c r="DD53" s="24"/>
      <c r="DE53" s="24"/>
      <c r="DF53" s="24"/>
      <c r="DG53" s="24"/>
      <c r="DH53" s="24"/>
      <c r="DI53" s="24"/>
      <c r="ED53" s="24"/>
      <c r="EE53" s="24"/>
      <c r="EF53" s="24"/>
      <c r="EG53" s="24"/>
      <c r="EH53" s="24"/>
      <c r="EI53" s="24"/>
      <c r="EJ53" s="24"/>
      <c r="EK53" s="24"/>
      <c r="EL53" s="24"/>
      <c r="EM53" s="24"/>
      <c r="EN53" s="24"/>
      <c r="EO53" s="24"/>
      <c r="EP53" s="24"/>
      <c r="EQ53" s="24"/>
      <c r="ER53" s="24"/>
      <c r="ES53" s="24"/>
      <c r="ET53" s="24"/>
      <c r="EU53" s="24"/>
      <c r="EV53" s="24"/>
      <c r="EW53" s="24"/>
    </row>
    <row r="54" spans="3:153" s="5" customFormat="1">
      <c r="C54" s="24"/>
      <c r="D54" s="24"/>
      <c r="H54" s="24"/>
      <c r="I54" s="24"/>
      <c r="J54" s="24"/>
      <c r="O54" s="24"/>
      <c r="P54" s="24"/>
      <c r="Q54" s="24"/>
      <c r="R54" s="24"/>
      <c r="S54" s="24"/>
      <c r="T54" s="24"/>
      <c r="U54" s="24"/>
      <c r="V54" s="24"/>
      <c r="W54" s="24"/>
      <c r="X54" s="24"/>
      <c r="Y54" s="24"/>
      <c r="Z54" s="24"/>
      <c r="AA54" s="24"/>
      <c r="AB54" s="24"/>
      <c r="AJ54" s="49"/>
      <c r="AK54" s="49"/>
      <c r="AL54" s="49"/>
      <c r="AM54" s="49"/>
      <c r="BW54" s="24"/>
      <c r="BX54" s="24"/>
      <c r="CD54" s="24"/>
      <c r="CE54" s="24"/>
      <c r="CU54" s="50"/>
      <c r="CV54" s="24"/>
      <c r="CW54" s="24"/>
      <c r="CX54" s="24"/>
      <c r="CY54" s="24"/>
      <c r="CZ54" s="24"/>
      <c r="DA54" s="24"/>
      <c r="DB54" s="24"/>
      <c r="DC54" s="24"/>
      <c r="DD54" s="24"/>
      <c r="DE54" s="24"/>
      <c r="DF54" s="24"/>
      <c r="DG54" s="24"/>
      <c r="DH54" s="24"/>
      <c r="DI54" s="24"/>
      <c r="ED54" s="24"/>
      <c r="EE54" s="24"/>
      <c r="EF54" s="24"/>
      <c r="EG54" s="24"/>
      <c r="EH54" s="24"/>
      <c r="EI54" s="24"/>
      <c r="EJ54" s="24"/>
      <c r="EK54" s="24"/>
      <c r="EL54" s="24"/>
      <c r="EM54" s="24"/>
      <c r="EN54" s="24"/>
      <c r="EO54" s="24"/>
      <c r="EP54" s="24"/>
      <c r="EQ54" s="24"/>
      <c r="ER54" s="24"/>
      <c r="ES54" s="24"/>
      <c r="ET54" s="24"/>
      <c r="EU54" s="24"/>
      <c r="EV54" s="24"/>
      <c r="EW54" s="24"/>
    </row>
    <row r="55" spans="3:153" s="5" customFormat="1">
      <c r="O55" s="24"/>
      <c r="P55" s="24"/>
      <c r="Q55" s="24"/>
      <c r="R55" s="24"/>
      <c r="S55" s="24"/>
      <c r="T55" s="24"/>
      <c r="U55" s="24"/>
      <c r="V55" s="24"/>
      <c r="W55" s="24"/>
      <c r="X55" s="24"/>
      <c r="Y55" s="24"/>
      <c r="Z55" s="24"/>
      <c r="AA55" s="24"/>
      <c r="AB55" s="24"/>
      <c r="AJ55" s="49"/>
      <c r="AK55" s="49"/>
      <c r="AL55" s="49"/>
      <c r="AM55" s="49"/>
      <c r="BW55" s="24"/>
      <c r="BX55" s="24"/>
      <c r="CD55" s="24"/>
      <c r="CE55" s="24"/>
      <c r="CU55" s="50"/>
      <c r="CV55" s="24"/>
      <c r="CW55" s="24"/>
      <c r="CX55" s="24"/>
      <c r="CY55" s="24"/>
      <c r="CZ55" s="24"/>
      <c r="DA55" s="24"/>
      <c r="DB55" s="24"/>
      <c r="DC55" s="24"/>
      <c r="DD55" s="24"/>
      <c r="DE55" s="24"/>
      <c r="DF55" s="24"/>
      <c r="DG55" s="24"/>
      <c r="DH55" s="24"/>
      <c r="DI55" s="24"/>
      <c r="ED55" s="24"/>
      <c r="EE55" s="24"/>
      <c r="EF55" s="24"/>
      <c r="EG55" s="24"/>
      <c r="EH55" s="24"/>
      <c r="EI55" s="24"/>
      <c r="EJ55" s="24"/>
      <c r="EK55" s="24"/>
      <c r="EL55" s="24"/>
      <c r="EM55" s="24"/>
      <c r="EN55" s="24"/>
      <c r="EO55" s="24"/>
      <c r="EP55" s="24"/>
      <c r="EQ55" s="24"/>
      <c r="ER55" s="24"/>
      <c r="ES55" s="24"/>
      <c r="ET55" s="24"/>
      <c r="EU55" s="24"/>
      <c r="EV55" s="24"/>
      <c r="EW55" s="24"/>
    </row>
    <row r="56" spans="3:153" s="5" customFormat="1">
      <c r="W56" s="24"/>
      <c r="X56" s="24"/>
      <c r="Y56" s="24"/>
      <c r="Z56" s="24"/>
      <c r="AA56" s="24"/>
      <c r="AB56" s="24"/>
      <c r="AJ56" s="49"/>
      <c r="AK56" s="49"/>
      <c r="AL56" s="49"/>
      <c r="AM56" s="49"/>
      <c r="BW56" s="24"/>
      <c r="BX56" s="24"/>
      <c r="CD56" s="24"/>
      <c r="CE56" s="24"/>
      <c r="CU56" s="50"/>
      <c r="CV56" s="24"/>
      <c r="CW56" s="24"/>
      <c r="CX56" s="24"/>
      <c r="CY56" s="24"/>
      <c r="CZ56" s="24"/>
      <c r="DA56" s="24"/>
      <c r="DB56" s="24"/>
      <c r="DC56" s="24"/>
      <c r="DD56" s="24"/>
      <c r="DE56" s="24"/>
      <c r="DF56" s="24"/>
      <c r="DG56" s="24"/>
      <c r="DH56" s="24"/>
      <c r="DI56" s="24"/>
      <c r="ED56" s="24"/>
      <c r="EE56" s="24"/>
      <c r="EF56" s="24"/>
      <c r="EG56" s="24"/>
      <c r="EH56" s="24"/>
      <c r="EI56" s="24"/>
      <c r="EJ56" s="24"/>
      <c r="EK56" s="24"/>
      <c r="EL56" s="24"/>
      <c r="EM56" s="24"/>
      <c r="EN56" s="24"/>
      <c r="EO56" s="24"/>
      <c r="EP56" s="24"/>
      <c r="EQ56" s="24"/>
      <c r="ER56" s="24"/>
      <c r="ES56" s="24"/>
      <c r="ET56" s="24"/>
      <c r="EU56" s="24"/>
      <c r="EV56" s="24"/>
      <c r="EW56" s="24"/>
    </row>
    <row r="57" spans="3:153" s="5" customFormat="1">
      <c r="W57" s="24"/>
      <c r="X57" s="24"/>
      <c r="Y57" s="24"/>
      <c r="Z57" s="24"/>
      <c r="AA57" s="24"/>
      <c r="AB57" s="24"/>
      <c r="AJ57" s="49"/>
      <c r="AK57" s="49"/>
      <c r="AL57" s="49"/>
      <c r="AM57" s="49"/>
      <c r="BW57" s="24"/>
      <c r="BX57" s="24"/>
      <c r="CD57" s="24"/>
      <c r="CE57" s="24"/>
      <c r="CU57" s="50"/>
      <c r="CV57" s="24"/>
      <c r="CW57" s="24"/>
      <c r="CX57" s="24"/>
      <c r="CY57" s="24"/>
      <c r="CZ57" s="24"/>
      <c r="DA57" s="24"/>
      <c r="DB57" s="24"/>
      <c r="DC57" s="24"/>
      <c r="DD57" s="24"/>
      <c r="DE57" s="24"/>
      <c r="DF57" s="24"/>
      <c r="DG57" s="24"/>
      <c r="DH57" s="24"/>
      <c r="DI57" s="24"/>
      <c r="ED57" s="210"/>
      <c r="EE57" s="210"/>
      <c r="EF57" s="210"/>
      <c r="EG57" s="210"/>
      <c r="EH57" s="210"/>
      <c r="EI57" s="210"/>
      <c r="EJ57" s="210"/>
      <c r="EK57" s="210"/>
      <c r="EL57" s="210"/>
      <c r="EM57" s="210"/>
      <c r="EN57" s="210"/>
      <c r="EO57" s="210"/>
      <c r="EP57" s="210"/>
      <c r="EQ57" s="210"/>
      <c r="ER57" s="210"/>
      <c r="ES57" s="210"/>
      <c r="ET57" s="210"/>
      <c r="EU57" s="210"/>
      <c r="EV57" s="210"/>
      <c r="EW57" s="210"/>
    </row>
    <row r="58" spans="3:153" s="5" customFormat="1">
      <c r="W58" s="24"/>
      <c r="X58" s="24"/>
      <c r="Y58" s="24"/>
      <c r="Z58" s="24"/>
      <c r="AA58" s="24"/>
      <c r="AB58" s="24"/>
      <c r="AJ58" s="49"/>
      <c r="AK58" s="49"/>
      <c r="AL58" s="49"/>
      <c r="AM58" s="49"/>
      <c r="BW58" s="24"/>
      <c r="BX58" s="24"/>
      <c r="CD58" s="24"/>
      <c r="CE58" s="24"/>
      <c r="CU58" s="50"/>
      <c r="CV58" s="24"/>
      <c r="CW58" s="24"/>
      <c r="CX58" s="24"/>
      <c r="CY58" s="24"/>
      <c r="CZ58" s="24"/>
      <c r="DA58" s="24"/>
      <c r="DB58" s="24"/>
      <c r="DC58" s="24"/>
      <c r="DD58" s="24"/>
      <c r="DE58" s="24"/>
      <c r="DF58" s="24"/>
      <c r="DG58" s="24"/>
      <c r="DH58" s="24"/>
      <c r="DI58" s="24"/>
      <c r="ED58" s="24"/>
      <c r="EE58" s="24"/>
      <c r="EF58" s="24"/>
      <c r="EG58" s="24"/>
      <c r="EH58" s="24"/>
      <c r="EI58" s="24"/>
      <c r="EJ58" s="24"/>
      <c r="EK58" s="24"/>
      <c r="EL58" s="24"/>
      <c r="EM58" s="24"/>
      <c r="EN58" s="24"/>
      <c r="EO58" s="24"/>
      <c r="EP58" s="24"/>
      <c r="EQ58" s="24"/>
      <c r="ER58" s="24"/>
      <c r="ES58" s="24"/>
      <c r="ET58" s="24"/>
      <c r="EU58" s="24"/>
      <c r="EV58" s="24"/>
      <c r="EW58" s="24"/>
    </row>
    <row r="59" spans="3:153" s="5" customFormat="1">
      <c r="W59" s="24"/>
      <c r="X59" s="24"/>
      <c r="Y59" s="24"/>
      <c r="Z59" s="24"/>
      <c r="AA59" s="24"/>
      <c r="AB59" s="24"/>
      <c r="AJ59" s="49"/>
      <c r="AK59" s="49"/>
      <c r="AL59" s="49"/>
      <c r="AM59" s="49"/>
      <c r="BW59" s="24"/>
      <c r="BX59" s="24"/>
      <c r="CD59" s="24"/>
      <c r="CE59" s="24"/>
      <c r="CU59" s="50"/>
      <c r="CV59" s="24"/>
      <c r="CW59" s="24"/>
      <c r="CX59" s="24"/>
      <c r="CY59" s="24"/>
      <c r="CZ59" s="24"/>
      <c r="DA59" s="24"/>
      <c r="DB59" s="24"/>
      <c r="DC59" s="24"/>
      <c r="DD59" s="24"/>
      <c r="DE59" s="24"/>
      <c r="DF59" s="24"/>
      <c r="DG59" s="24"/>
      <c r="DH59" s="24"/>
      <c r="DI59" s="24"/>
    </row>
    <row r="60" spans="3:153" s="5" customFormat="1">
      <c r="W60" s="24"/>
      <c r="X60" s="24"/>
      <c r="Y60" s="24"/>
      <c r="Z60" s="24"/>
      <c r="AA60" s="24"/>
      <c r="AB60" s="24"/>
      <c r="AJ60" s="49"/>
      <c r="AK60" s="49"/>
      <c r="AL60" s="49"/>
      <c r="AM60" s="49"/>
      <c r="BW60" s="24"/>
      <c r="BX60" s="24"/>
      <c r="CD60" s="24"/>
      <c r="CE60" s="24"/>
      <c r="CU60" s="50"/>
      <c r="CV60" s="24"/>
      <c r="CW60" s="24"/>
      <c r="CX60" s="24"/>
      <c r="CY60" s="24"/>
      <c r="CZ60" s="24"/>
      <c r="DA60" s="24"/>
      <c r="DB60" s="24"/>
      <c r="DC60" s="24"/>
      <c r="DD60" s="24"/>
      <c r="DE60" s="24"/>
      <c r="DF60" s="24"/>
      <c r="DG60" s="24"/>
      <c r="DH60" s="24"/>
      <c r="DI60" s="24"/>
    </row>
    <row r="61" spans="3:153" s="5" customFormat="1">
      <c r="W61" s="24"/>
      <c r="X61" s="24"/>
      <c r="Y61" s="24"/>
      <c r="Z61" s="24"/>
      <c r="AA61" s="24"/>
      <c r="AB61" s="24"/>
      <c r="AJ61" s="49"/>
      <c r="AK61" s="49"/>
      <c r="AL61" s="49"/>
      <c r="AM61" s="49"/>
      <c r="BW61" s="24"/>
      <c r="BX61" s="24"/>
      <c r="CD61" s="24"/>
      <c r="CE61" s="24"/>
      <c r="CU61" s="50"/>
      <c r="CV61" s="24"/>
      <c r="CW61" s="24"/>
      <c r="CX61" s="24"/>
      <c r="CY61" s="24"/>
      <c r="CZ61" s="24"/>
      <c r="DA61" s="24"/>
      <c r="DB61" s="24"/>
      <c r="DC61" s="24"/>
      <c r="DD61" s="24"/>
      <c r="DE61" s="24"/>
      <c r="DF61" s="24"/>
      <c r="DG61" s="24"/>
      <c r="DH61" s="24"/>
      <c r="DI61" s="24"/>
    </row>
    <row r="62" spans="3:153" s="5" customFormat="1">
      <c r="W62" s="24"/>
      <c r="X62" s="24"/>
      <c r="Y62" s="24"/>
      <c r="Z62" s="24"/>
      <c r="AA62" s="24"/>
      <c r="AB62" s="24"/>
      <c r="AC62" s="24"/>
      <c r="AD62" s="24"/>
      <c r="AE62" s="24"/>
      <c r="AF62" s="24"/>
      <c r="AG62" s="24"/>
      <c r="AH62" s="24"/>
      <c r="AI62" s="24"/>
      <c r="AJ62" s="24"/>
      <c r="AK62" s="24"/>
      <c r="AL62" s="24"/>
      <c r="AM62" s="24"/>
      <c r="AN62" s="24"/>
      <c r="AO62" s="24"/>
      <c r="BW62" s="24"/>
      <c r="BX62" s="24"/>
      <c r="CD62" s="24"/>
      <c r="CE62" s="24"/>
      <c r="CU62" s="50"/>
      <c r="CV62" s="24"/>
      <c r="CW62" s="24"/>
      <c r="CX62" s="24"/>
      <c r="CY62" s="24"/>
      <c r="CZ62" s="24"/>
      <c r="DA62" s="24"/>
      <c r="DB62" s="24"/>
      <c r="DC62" s="24"/>
      <c r="DD62" s="24"/>
      <c r="DE62" s="24"/>
      <c r="DF62" s="24"/>
      <c r="DG62" s="24"/>
      <c r="DH62" s="24"/>
      <c r="DI62" s="24"/>
    </row>
    <row r="63" spans="3:153" s="5" customFormat="1">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row>
    <row r="64" spans="3:153" s="5" customFormat="1">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row>
    <row r="65" spans="23:113" s="5" customFormat="1">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row>
    <row r="66" spans="23:113" s="5" customFormat="1">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row>
    <row r="67" spans="23:113" s="5" customFormat="1">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row>
    <row r="68" spans="23:113" s="5" customFormat="1">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row>
    <row r="69" spans="23:113" s="5" customFormat="1"/>
    <row r="70" spans="23:113" s="5" customFormat="1"/>
    <row r="71" spans="23:113" s="5" customFormat="1"/>
    <row r="72" spans="23:113" s="5" customFormat="1"/>
    <row r="73" spans="23:113" s="5" customFormat="1"/>
    <row r="74" spans="23:113" s="5" customFormat="1"/>
    <row r="75" spans="23:113" s="5" customFormat="1"/>
    <row r="76" spans="23:113" s="5" customFormat="1"/>
    <row r="77" spans="23:113" s="5" customFormat="1"/>
    <row r="78" spans="23:113" s="5" customFormat="1"/>
    <row r="79" spans="23:113" s="5" customFormat="1"/>
    <row r="80" spans="23:113"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sheetData>
  <sheetProtection algorithmName="SHA-512" hashValue="ybM9FaGAX0zWlnjv/rDRnI1TE+kDjmDjPIvSClAVIsiWfKypGUiM0kbRf2VuHPqQveIEbtZ5WT18VKnpYo7AlQ==" saltValue="hs5x6XkA8kzJjDVz1zxu7w==" spinCount="100000" sheet="1" objects="1" scenarios="1"/>
  <mergeCells count="680">
    <mergeCell ref="R8:AB8"/>
    <mergeCell ref="AU9:BB9"/>
    <mergeCell ref="BT7:CC7"/>
    <mergeCell ref="AM10:BB10"/>
    <mergeCell ref="AM11:BB11"/>
    <mergeCell ref="BT8:CC8"/>
    <mergeCell ref="BT9:CC9"/>
    <mergeCell ref="AM6:BB7"/>
    <mergeCell ref="AM8:BB8"/>
    <mergeCell ref="AM9:AT9"/>
    <mergeCell ref="R9:AL9"/>
    <mergeCell ref="Z10:AL10"/>
    <mergeCell ref="Z11:AL11"/>
    <mergeCell ref="R10:Y11"/>
    <mergeCell ref="BC11:BS11"/>
    <mergeCell ref="BC10:BS10"/>
    <mergeCell ref="BT11:CM11"/>
    <mergeCell ref="BT10:CM10"/>
    <mergeCell ref="BL9:BS9"/>
    <mergeCell ref="BC9:BK9"/>
    <mergeCell ref="BC8:BS8"/>
    <mergeCell ref="CD8:CM8"/>
    <mergeCell ref="CD9:CM9"/>
    <mergeCell ref="AM18:AP18"/>
    <mergeCell ref="AI19:AL19"/>
    <mergeCell ref="B2:CM4"/>
    <mergeCell ref="CD6:CM6"/>
    <mergeCell ref="DG11:DJ11"/>
    <mergeCell ref="DK11:DN11"/>
    <mergeCell ref="DO11:DR11"/>
    <mergeCell ref="DS11:DW11"/>
    <mergeCell ref="DX11:EA11"/>
    <mergeCell ref="BL7:BS7"/>
    <mergeCell ref="BC6:BK6"/>
    <mergeCell ref="BC7:BK7"/>
    <mergeCell ref="BL6:BS6"/>
    <mergeCell ref="BT6:CC6"/>
    <mergeCell ref="CD7:CM7"/>
    <mergeCell ref="B10:Q11"/>
    <mergeCell ref="B5:Q9"/>
    <mergeCell ref="AC5:CM5"/>
    <mergeCell ref="R5:AB5"/>
    <mergeCell ref="AC6:AL6"/>
    <mergeCell ref="R6:AB6"/>
    <mergeCell ref="AC7:AL7"/>
    <mergeCell ref="R7:AB7"/>
    <mergeCell ref="AC8:AL8"/>
    <mergeCell ref="I18:K18"/>
    <mergeCell ref="I17:K17"/>
    <mergeCell ref="B24:D24"/>
    <mergeCell ref="B25:D25"/>
    <mergeCell ref="AQ22:AT22"/>
    <mergeCell ref="AC25:AE25"/>
    <mergeCell ref="AF24:AH24"/>
    <mergeCell ref="AF25:AH25"/>
    <mergeCell ref="AI24:AL24"/>
    <mergeCell ref="AI25:AL25"/>
    <mergeCell ref="AQ20:AT20"/>
    <mergeCell ref="AQ21:AT21"/>
    <mergeCell ref="AC23:AE23"/>
    <mergeCell ref="AQ25:AT25"/>
    <mergeCell ref="AF22:AH22"/>
    <mergeCell ref="AQ23:AT23"/>
    <mergeCell ref="V18:Y18"/>
    <mergeCell ref="AF21:AH21"/>
    <mergeCell ref="AI18:AL18"/>
    <mergeCell ref="AI21:AL21"/>
    <mergeCell ref="AI20:AL20"/>
    <mergeCell ref="AM20:AP20"/>
    <mergeCell ref="AM21:AP21"/>
    <mergeCell ref="V21:Y21"/>
    <mergeCell ref="I14:K15"/>
    <mergeCell ref="B14:D15"/>
    <mergeCell ref="B16:D16"/>
    <mergeCell ref="I16:K16"/>
    <mergeCell ref="B26:D26"/>
    <mergeCell ref="I26:K26"/>
    <mergeCell ref="E26:H26"/>
    <mergeCell ref="E16:H16"/>
    <mergeCell ref="E14:H15"/>
    <mergeCell ref="E18:H18"/>
    <mergeCell ref="E17:H17"/>
    <mergeCell ref="B17:D17"/>
    <mergeCell ref="B18:D18"/>
    <mergeCell ref="I20:K20"/>
    <mergeCell ref="I21:K21"/>
    <mergeCell ref="B19:D19"/>
    <mergeCell ref="B20:D20"/>
    <mergeCell ref="B21:D21"/>
    <mergeCell ref="B22:D22"/>
    <mergeCell ref="B23:D23"/>
    <mergeCell ref="I22:K22"/>
    <mergeCell ref="I23:K23"/>
    <mergeCell ref="I25:K25"/>
    <mergeCell ref="I24:K24"/>
    <mergeCell ref="AX17:AZ17"/>
    <mergeCell ref="AF20:AH20"/>
    <mergeCell ref="AU20:AW20"/>
    <mergeCell ref="AU21:AW21"/>
    <mergeCell ref="Z14:AB15"/>
    <mergeCell ref="AC14:AE15"/>
    <mergeCell ref="AF14:AH15"/>
    <mergeCell ref="AI14:AL15"/>
    <mergeCell ref="AM14:AP15"/>
    <mergeCell ref="AQ14:AT15"/>
    <mergeCell ref="AM19:AP19"/>
    <mergeCell ref="Z20:AB20"/>
    <mergeCell ref="Z21:AB21"/>
    <mergeCell ref="AX18:AZ18"/>
    <mergeCell ref="AX19:AZ19"/>
    <mergeCell ref="AU17:AW17"/>
    <mergeCell ref="AQ18:AT18"/>
    <mergeCell ref="Z16:AB16"/>
    <mergeCell ref="AI16:AL16"/>
    <mergeCell ref="AM16:AP16"/>
    <mergeCell ref="AQ16:AT16"/>
    <mergeCell ref="AU16:AW16"/>
    <mergeCell ref="AX16:AZ16"/>
    <mergeCell ref="AF18:AH18"/>
    <mergeCell ref="B12:AL13"/>
    <mergeCell ref="AM17:AP17"/>
    <mergeCell ref="AC16:AE16"/>
    <mergeCell ref="AQ17:AT17"/>
    <mergeCell ref="BT16:BX16"/>
    <mergeCell ref="Q14:U15"/>
    <mergeCell ref="Q16:U16"/>
    <mergeCell ref="Q17:U17"/>
    <mergeCell ref="BA16:BC16"/>
    <mergeCell ref="BD16:BF16"/>
    <mergeCell ref="Z17:AB17"/>
    <mergeCell ref="AC17:AE17"/>
    <mergeCell ref="BJ17:BM17"/>
    <mergeCell ref="BG17:BI17"/>
    <mergeCell ref="BN17:BS17"/>
    <mergeCell ref="BD17:BF17"/>
    <mergeCell ref="AM12:BS13"/>
    <mergeCell ref="V17:Y17"/>
    <mergeCell ref="AF17:AH17"/>
    <mergeCell ref="AI17:AL17"/>
    <mergeCell ref="L14:P15"/>
    <mergeCell ref="L16:P16"/>
    <mergeCell ref="BN14:BS15"/>
    <mergeCell ref="V14:Y15"/>
    <mergeCell ref="AF16:AH16"/>
    <mergeCell ref="AF19:AH19"/>
    <mergeCell ref="V27:Y27"/>
    <mergeCell ref="AF26:AH26"/>
    <mergeCell ref="AI26:AL26"/>
    <mergeCell ref="AF27:AH27"/>
    <mergeCell ref="L17:P17"/>
    <mergeCell ref="L19:P19"/>
    <mergeCell ref="L18:P18"/>
    <mergeCell ref="Q18:U18"/>
    <mergeCell ref="Q19:U19"/>
    <mergeCell ref="Q20:U20"/>
    <mergeCell ref="V16:Y16"/>
    <mergeCell ref="Z18:AB18"/>
    <mergeCell ref="Z19:AB19"/>
    <mergeCell ref="AC18:AE18"/>
    <mergeCell ref="L27:P27"/>
    <mergeCell ref="Z26:AB26"/>
    <mergeCell ref="AC26:AE26"/>
    <mergeCell ref="CF29:CI29"/>
    <mergeCell ref="AQ29:AT29"/>
    <mergeCell ref="AU29:AW29"/>
    <mergeCell ref="CF28:CI28"/>
    <mergeCell ref="BY28:CA28"/>
    <mergeCell ref="BN28:BS28"/>
    <mergeCell ref="BT28:BX28"/>
    <mergeCell ref="AQ28:AT28"/>
    <mergeCell ref="AU28:AW28"/>
    <mergeCell ref="AX28:AZ28"/>
    <mergeCell ref="BA28:BC28"/>
    <mergeCell ref="BD28:BF28"/>
    <mergeCell ref="BG28:BI28"/>
    <mergeCell ref="BJ28:BM28"/>
    <mergeCell ref="CB29:CE29"/>
    <mergeCell ref="BY29:CA29"/>
    <mergeCell ref="CB31:CE31"/>
    <mergeCell ref="CB28:CE28"/>
    <mergeCell ref="BY27:CA27"/>
    <mergeCell ref="CB27:CE27"/>
    <mergeCell ref="BY31:CA31"/>
    <mergeCell ref="CB30:CE30"/>
    <mergeCell ref="AX27:AZ27"/>
    <mergeCell ref="BA27:BC27"/>
    <mergeCell ref="BD27:BF27"/>
    <mergeCell ref="BG27:BI27"/>
    <mergeCell ref="BT27:BX27"/>
    <mergeCell ref="BT29:BX29"/>
    <mergeCell ref="AX29:AZ29"/>
    <mergeCell ref="BA29:BC29"/>
    <mergeCell ref="BD29:BF29"/>
    <mergeCell ref="BG29:BI29"/>
    <mergeCell ref="BJ29:BM29"/>
    <mergeCell ref="BN29:BS29"/>
    <mergeCell ref="BJ27:BM27"/>
    <mergeCell ref="BN27:BS27"/>
    <mergeCell ref="AX30:AZ30"/>
    <mergeCell ref="BA30:BC30"/>
    <mergeCell ref="BD30:BF30"/>
    <mergeCell ref="BG30:BI30"/>
    <mergeCell ref="BD33:BF33"/>
    <mergeCell ref="AM22:AP22"/>
    <mergeCell ref="AU18:AW18"/>
    <mergeCell ref="AX20:AZ20"/>
    <mergeCell ref="AX21:AZ21"/>
    <mergeCell ref="AX23:AZ23"/>
    <mergeCell ref="AX22:AZ22"/>
    <mergeCell ref="AU19:AW19"/>
    <mergeCell ref="BA21:BC21"/>
    <mergeCell ref="BD23:BF23"/>
    <mergeCell ref="BD21:BF21"/>
    <mergeCell ref="AQ19:AT19"/>
    <mergeCell ref="BD18:BF18"/>
    <mergeCell ref="BD19:BF19"/>
    <mergeCell ref="AU27:AW27"/>
    <mergeCell ref="AU23:AW23"/>
    <mergeCell ref="AU24:AW24"/>
    <mergeCell ref="BA25:BC25"/>
    <mergeCell ref="AU26:AW26"/>
    <mergeCell ref="AM24:AP24"/>
    <mergeCell ref="AM25:AP25"/>
    <mergeCell ref="AU25:AW25"/>
    <mergeCell ref="AQ24:AT24"/>
    <mergeCell ref="AQ26:AT26"/>
    <mergeCell ref="BG33:BI33"/>
    <mergeCell ref="BJ33:BM33"/>
    <mergeCell ref="ED57:EW57"/>
    <mergeCell ref="CF33:CI33"/>
    <mergeCell ref="BN33:BS33"/>
    <mergeCell ref="B35:EJ36"/>
    <mergeCell ref="AM33:AP33"/>
    <mergeCell ref="B33:D33"/>
    <mergeCell ref="E33:H33"/>
    <mergeCell ref="BY33:CA33"/>
    <mergeCell ref="DT33:DW33"/>
    <mergeCell ref="DM33:DS33"/>
    <mergeCell ref="ED33:EJ33"/>
    <mergeCell ref="CN33:CQ33"/>
    <mergeCell ref="I33:AL33"/>
    <mergeCell ref="B37:EJ38"/>
    <mergeCell ref="CJ33:CM33"/>
    <mergeCell ref="CR33:DB33"/>
    <mergeCell ref="BT33:BX33"/>
    <mergeCell ref="CB33:CE33"/>
    <mergeCell ref="AQ33:AT33"/>
    <mergeCell ref="AU33:AW33"/>
    <mergeCell ref="AX33:AZ33"/>
    <mergeCell ref="BA33:BC33"/>
    <mergeCell ref="BJ30:BM30"/>
    <mergeCell ref="BN30:BS30"/>
    <mergeCell ref="BT30:BX30"/>
    <mergeCell ref="Q30:U30"/>
    <mergeCell ref="B31:D31"/>
    <mergeCell ref="I31:K31"/>
    <mergeCell ref="E31:H31"/>
    <mergeCell ref="V31:Y31"/>
    <mergeCell ref="Z31:AB31"/>
    <mergeCell ref="AC31:AE31"/>
    <mergeCell ref="AF31:AH31"/>
    <mergeCell ref="AI31:AL31"/>
    <mergeCell ref="AM31:AP31"/>
    <mergeCell ref="L31:P31"/>
    <mergeCell ref="Q31:U31"/>
    <mergeCell ref="B30:D30"/>
    <mergeCell ref="I30:K30"/>
    <mergeCell ref="E30:H30"/>
    <mergeCell ref="V30:Y30"/>
    <mergeCell ref="Z30:AB30"/>
    <mergeCell ref="AC30:AE30"/>
    <mergeCell ref="AF30:AH30"/>
    <mergeCell ref="AI30:AL30"/>
    <mergeCell ref="AM30:AP30"/>
    <mergeCell ref="L30:P30"/>
    <mergeCell ref="B29:D29"/>
    <mergeCell ref="I29:K29"/>
    <mergeCell ref="E29:H29"/>
    <mergeCell ref="V29:Y29"/>
    <mergeCell ref="Z29:AB29"/>
    <mergeCell ref="AC29:AE29"/>
    <mergeCell ref="AF29:AH29"/>
    <mergeCell ref="AI29:AL29"/>
    <mergeCell ref="AM29:AP29"/>
    <mergeCell ref="L29:P29"/>
    <mergeCell ref="Q29:U29"/>
    <mergeCell ref="B27:D27"/>
    <mergeCell ref="AM23:AP23"/>
    <mergeCell ref="AM27:AP27"/>
    <mergeCell ref="E25:H25"/>
    <mergeCell ref="E24:H24"/>
    <mergeCell ref="V24:Y24"/>
    <mergeCell ref="Z24:AB24"/>
    <mergeCell ref="Z25:AB25"/>
    <mergeCell ref="AF23:AH23"/>
    <mergeCell ref="I27:K27"/>
    <mergeCell ref="AM26:AP26"/>
    <mergeCell ref="L23:P23"/>
    <mergeCell ref="L24:P24"/>
    <mergeCell ref="Z27:AB27"/>
    <mergeCell ref="Q25:U25"/>
    <mergeCell ref="Q26:U26"/>
    <mergeCell ref="Q27:U27"/>
    <mergeCell ref="AC24:AE24"/>
    <mergeCell ref="Q24:U24"/>
    <mergeCell ref="L25:P25"/>
    <mergeCell ref="L26:P26"/>
    <mergeCell ref="B28:D28"/>
    <mergeCell ref="I28:K28"/>
    <mergeCell ref="E28:H28"/>
    <mergeCell ref="V28:Y28"/>
    <mergeCell ref="Z28:AB28"/>
    <mergeCell ref="AC28:AE28"/>
    <mergeCell ref="AF28:AH28"/>
    <mergeCell ref="AI28:AL28"/>
    <mergeCell ref="AM28:AP28"/>
    <mergeCell ref="Q28:U28"/>
    <mergeCell ref="L28:P28"/>
    <mergeCell ref="BY20:CA20"/>
    <mergeCell ref="BG22:BI22"/>
    <mergeCell ref="BG23:BI23"/>
    <mergeCell ref="BJ22:BM22"/>
    <mergeCell ref="BN23:BS23"/>
    <mergeCell ref="BN22:BS22"/>
    <mergeCell ref="BJ20:BM20"/>
    <mergeCell ref="BJ21:BM21"/>
    <mergeCell ref="BN20:BS20"/>
    <mergeCell ref="BN21:BS21"/>
    <mergeCell ref="BT21:BX21"/>
    <mergeCell ref="BT22:BX22"/>
    <mergeCell ref="CJ26:CM26"/>
    <mergeCell ref="BT24:BX24"/>
    <mergeCell ref="CJ18:CM18"/>
    <mergeCell ref="CF16:CI16"/>
    <mergeCell ref="CJ20:CM20"/>
    <mergeCell ref="CF20:CI20"/>
    <mergeCell ref="BT25:BX25"/>
    <mergeCell ref="BY24:CA24"/>
    <mergeCell ref="BY25:CA25"/>
    <mergeCell ref="CJ24:CM24"/>
    <mergeCell ref="CJ25:CM25"/>
    <mergeCell ref="CJ16:CM16"/>
    <mergeCell ref="BY17:CA17"/>
    <mergeCell ref="BY18:CA18"/>
    <mergeCell ref="CB17:CE17"/>
    <mergeCell ref="CB18:CE18"/>
    <mergeCell ref="BT18:BX18"/>
    <mergeCell ref="CF22:CI22"/>
    <mergeCell ref="CF21:CI21"/>
    <mergeCell ref="CB19:CE19"/>
    <mergeCell ref="CF17:CI17"/>
    <mergeCell ref="CF18:CI18"/>
    <mergeCell ref="BT23:BX23"/>
    <mergeCell ref="CB25:CE25"/>
    <mergeCell ref="AU14:AW15"/>
    <mergeCell ref="BA14:BC15"/>
    <mergeCell ref="AX14:AZ15"/>
    <mergeCell ref="BA17:BC17"/>
    <mergeCell ref="BA19:BC19"/>
    <mergeCell ref="BA20:BC20"/>
    <mergeCell ref="EB14:EE15"/>
    <mergeCell ref="DO14:DS15"/>
    <mergeCell ref="BD20:BF20"/>
    <mergeCell ref="BT20:BX20"/>
    <mergeCell ref="BY16:CA16"/>
    <mergeCell ref="BN16:BS16"/>
    <mergeCell ref="BD14:BF15"/>
    <mergeCell ref="BG14:BI15"/>
    <mergeCell ref="BJ14:BM15"/>
    <mergeCell ref="CJ14:CM15"/>
    <mergeCell ref="BT17:BX17"/>
    <mergeCell ref="CB20:CE20"/>
    <mergeCell ref="CN17:CQ17"/>
    <mergeCell ref="CN18:CQ18"/>
    <mergeCell ref="CB14:CE15"/>
    <mergeCell ref="BG16:BI16"/>
    <mergeCell ref="BJ16:BM16"/>
    <mergeCell ref="CF19:CI19"/>
    <mergeCell ref="BT12:CE13"/>
    <mergeCell ref="CF12:CM13"/>
    <mergeCell ref="DT17:DW17"/>
    <mergeCell ref="DT14:DW15"/>
    <mergeCell ref="DT16:DW16"/>
    <mergeCell ref="DT18:DW18"/>
    <mergeCell ref="DT19:DW19"/>
    <mergeCell ref="DO16:DS16"/>
    <mergeCell ref="JK8:JU9"/>
    <mergeCell ref="IO10:IX11"/>
    <mergeCell ref="HD7:HM8"/>
    <mergeCell ref="GU9:HB9"/>
    <mergeCell ref="GP9:GS9"/>
    <mergeCell ref="GO7:GO8"/>
    <mergeCell ref="HP18:HR18"/>
    <mergeCell ref="HP19:HR19"/>
    <mergeCell ref="HP16:HR16"/>
    <mergeCell ref="DT13:EJ13"/>
    <mergeCell ref="EF14:EJ15"/>
    <mergeCell ref="EF16:EJ16"/>
    <mergeCell ref="EF18:EJ18"/>
    <mergeCell ref="EF19:EJ19"/>
    <mergeCell ref="EB11:EE11"/>
    <mergeCell ref="EG11:EJ11"/>
    <mergeCell ref="CF14:CI15"/>
    <mergeCell ref="CB16:CE16"/>
    <mergeCell ref="BY14:CA15"/>
    <mergeCell ref="BT14:BX15"/>
    <mergeCell ref="DK14:DN15"/>
    <mergeCell ref="EB16:EE16"/>
    <mergeCell ref="DG19:DJ19"/>
    <mergeCell ref="DK16:DN16"/>
    <mergeCell ref="DO17:DS17"/>
    <mergeCell ref="DO18:DS18"/>
    <mergeCell ref="DO19:DS19"/>
    <mergeCell ref="CN16:DB16"/>
    <mergeCell ref="BT19:BX19"/>
    <mergeCell ref="CJ17:CM17"/>
    <mergeCell ref="BY19:CA19"/>
    <mergeCell ref="CJ19:CM19"/>
    <mergeCell ref="DC14:DF15"/>
    <mergeCell ref="DC16:DF16"/>
    <mergeCell ref="HM20:HO20"/>
    <mergeCell ref="HM21:HO21"/>
    <mergeCell ref="DG14:DJ15"/>
    <mergeCell ref="DG16:DJ16"/>
    <mergeCell ref="DX14:EA15"/>
    <mergeCell ref="DX16:EA16"/>
    <mergeCell ref="EF21:EJ21"/>
    <mergeCell ref="DK21:DN21"/>
    <mergeCell ref="HM16:HO16"/>
    <mergeCell ref="HM18:HO18"/>
    <mergeCell ref="HM19:HO19"/>
    <mergeCell ref="DG18:DJ18"/>
    <mergeCell ref="DO21:DS21"/>
    <mergeCell ref="EB21:EE21"/>
    <mergeCell ref="DK17:DN17"/>
    <mergeCell ref="DK18:DN18"/>
    <mergeCell ref="DK19:DN19"/>
    <mergeCell ref="DG20:DJ20"/>
    <mergeCell ref="DG21:DJ21"/>
    <mergeCell ref="EB17:EE17"/>
    <mergeCell ref="EB18:EE18"/>
    <mergeCell ref="EB19:EE19"/>
    <mergeCell ref="DT20:DW20"/>
    <mergeCell ref="DT21:DW21"/>
    <mergeCell ref="GP6:GR6"/>
    <mergeCell ref="GT6:HC6"/>
    <mergeCell ref="CN22:CQ22"/>
    <mergeCell ref="CN23:CQ23"/>
    <mergeCell ref="CR25:DB25"/>
    <mergeCell ref="CN25:CQ25"/>
    <mergeCell ref="CN12:DB13"/>
    <mergeCell ref="CR18:DB18"/>
    <mergeCell ref="CR19:DB19"/>
    <mergeCell ref="CR22:DB22"/>
    <mergeCell ref="CR23:DB23"/>
    <mergeCell ref="CR24:DB24"/>
    <mergeCell ref="CR20:DB20"/>
    <mergeCell ref="CR21:DB21"/>
    <mergeCell ref="CN24:CQ24"/>
    <mergeCell ref="CN19:CQ19"/>
    <mergeCell ref="CR17:DB17"/>
    <mergeCell ref="CN20:CQ20"/>
    <mergeCell ref="CN21:CQ21"/>
    <mergeCell ref="CN14:DB15"/>
    <mergeCell ref="DK24:DN24"/>
    <mergeCell ref="DK25:DN25"/>
    <mergeCell ref="DX24:EA24"/>
    <mergeCell ref="DX25:EA25"/>
    <mergeCell ref="BT26:BX26"/>
    <mergeCell ref="E20:H20"/>
    <mergeCell ref="E19:H19"/>
    <mergeCell ref="Z23:AB23"/>
    <mergeCell ref="AC19:AE19"/>
    <mergeCell ref="AC20:AE20"/>
    <mergeCell ref="AC22:AE22"/>
    <mergeCell ref="L20:P20"/>
    <mergeCell ref="L21:P21"/>
    <mergeCell ref="V23:Y23"/>
    <mergeCell ref="Q21:U21"/>
    <mergeCell ref="V19:Y19"/>
    <mergeCell ref="V20:Y20"/>
    <mergeCell ref="Z22:AB22"/>
    <mergeCell ref="AC21:AE21"/>
    <mergeCell ref="E23:H23"/>
    <mergeCell ref="E22:H22"/>
    <mergeCell ref="L22:P22"/>
    <mergeCell ref="I19:K19"/>
    <mergeCell ref="Q22:U22"/>
    <mergeCell ref="Q23:U23"/>
    <mergeCell ref="V22:Y22"/>
    <mergeCell ref="BG25:BI25"/>
    <mergeCell ref="BN24:BS24"/>
    <mergeCell ref="AX26:AZ26"/>
    <mergeCell ref="BA26:BC26"/>
    <mergeCell ref="BD26:BF26"/>
    <mergeCell ref="E21:H21"/>
    <mergeCell ref="E27:H27"/>
    <mergeCell ref="AC27:AE27"/>
    <mergeCell ref="V25:Y25"/>
    <mergeCell ref="AI23:AL23"/>
    <mergeCell ref="AI22:AL22"/>
    <mergeCell ref="AU22:AW22"/>
    <mergeCell ref="AX24:AZ24"/>
    <mergeCell ref="AQ27:AT27"/>
    <mergeCell ref="V26:Y26"/>
    <mergeCell ref="AI27:AL27"/>
    <mergeCell ref="AX25:AZ25"/>
    <mergeCell ref="BG18:BI18"/>
    <mergeCell ref="BA18:BC18"/>
    <mergeCell ref="BN26:BS26"/>
    <mergeCell ref="BJ19:BM19"/>
    <mergeCell ref="BJ18:BM18"/>
    <mergeCell ref="BN18:BS18"/>
    <mergeCell ref="BN19:BS19"/>
    <mergeCell ref="BA22:BC22"/>
    <mergeCell ref="BA23:BC23"/>
    <mergeCell ref="BG19:BI19"/>
    <mergeCell ref="BG20:BI20"/>
    <mergeCell ref="BG21:BI21"/>
    <mergeCell ref="BJ23:BM23"/>
    <mergeCell ref="BD22:BF22"/>
    <mergeCell ref="BJ24:BM24"/>
    <mergeCell ref="BJ25:BM25"/>
    <mergeCell ref="BD24:BF24"/>
    <mergeCell ref="BD25:BF25"/>
    <mergeCell ref="BA24:BC24"/>
    <mergeCell ref="BN25:BS25"/>
    <mergeCell ref="BG24:BI24"/>
    <mergeCell ref="BG26:BI26"/>
    <mergeCell ref="BJ26:BM26"/>
    <mergeCell ref="DC22:DF22"/>
    <mergeCell ref="DC23:DF23"/>
    <mergeCell ref="DC24:DF24"/>
    <mergeCell ref="CJ29:CM29"/>
    <mergeCell ref="CJ27:CM27"/>
    <mergeCell ref="CJ28:CM28"/>
    <mergeCell ref="CJ22:CM22"/>
    <mergeCell ref="CJ23:CM23"/>
    <mergeCell ref="BY21:CA21"/>
    <mergeCell ref="BY22:CA22"/>
    <mergeCell ref="BY23:CA23"/>
    <mergeCell ref="CB21:CE21"/>
    <mergeCell ref="CB22:CE22"/>
    <mergeCell ref="CJ21:CM21"/>
    <mergeCell ref="CF23:CI23"/>
    <mergeCell ref="CB23:CE23"/>
    <mergeCell ref="CB26:CE26"/>
    <mergeCell ref="CF27:CI27"/>
    <mergeCell ref="CN26:CQ26"/>
    <mergeCell ref="CF25:CI25"/>
    <mergeCell ref="CF24:CI24"/>
    <mergeCell ref="CB24:CE24"/>
    <mergeCell ref="BY26:CA26"/>
    <mergeCell ref="CF26:CI26"/>
    <mergeCell ref="DT23:DW23"/>
    <mergeCell ref="DO20:DS20"/>
    <mergeCell ref="DX22:EA22"/>
    <mergeCell ref="CN29:CQ29"/>
    <mergeCell ref="EB20:EE20"/>
    <mergeCell ref="DT22:DW22"/>
    <mergeCell ref="DK29:DN29"/>
    <mergeCell ref="DO26:DS26"/>
    <mergeCell ref="EB22:EE22"/>
    <mergeCell ref="EB23:EE23"/>
    <mergeCell ref="DT29:DW29"/>
    <mergeCell ref="DX29:EA29"/>
    <mergeCell ref="CN27:CQ27"/>
    <mergeCell ref="CN28:CQ28"/>
    <mergeCell ref="CR29:DB29"/>
    <mergeCell ref="CR28:DB28"/>
    <mergeCell ref="DT28:DW28"/>
    <mergeCell ref="DT24:DW24"/>
    <mergeCell ref="DT25:DW25"/>
    <mergeCell ref="DO22:DS22"/>
    <mergeCell ref="DO23:DS23"/>
    <mergeCell ref="DO28:DS28"/>
    <mergeCell ref="CR26:DB26"/>
    <mergeCell ref="CR27:DB27"/>
    <mergeCell ref="DX23:EA23"/>
    <mergeCell ref="DT31:DW31"/>
    <mergeCell ref="DX30:EA30"/>
    <mergeCell ref="DX31:EA31"/>
    <mergeCell ref="DG17:DJ17"/>
    <mergeCell ref="DK26:DN26"/>
    <mergeCell ref="EF27:EJ27"/>
    <mergeCell ref="EB24:EE24"/>
    <mergeCell ref="EB25:EE25"/>
    <mergeCell ref="EF17:EJ17"/>
    <mergeCell ref="EF25:EJ25"/>
    <mergeCell ref="DG22:DJ22"/>
    <mergeCell ref="DG23:DJ23"/>
    <mergeCell ref="DG24:DJ24"/>
    <mergeCell ref="DG25:DJ25"/>
    <mergeCell ref="DG26:DJ26"/>
    <mergeCell ref="DO27:DS27"/>
    <mergeCell ref="DK27:DN27"/>
    <mergeCell ref="EF22:EJ22"/>
    <mergeCell ref="EF23:EJ23"/>
    <mergeCell ref="EF24:EJ24"/>
    <mergeCell ref="DK20:DN20"/>
    <mergeCell ref="DK22:DN22"/>
    <mergeCell ref="DK23:DN23"/>
    <mergeCell ref="E32:H32"/>
    <mergeCell ref="I32:DB32"/>
    <mergeCell ref="DK30:DN30"/>
    <mergeCell ref="DK31:DN31"/>
    <mergeCell ref="CJ31:CM31"/>
    <mergeCell ref="CN31:CQ31"/>
    <mergeCell ref="CJ30:CM30"/>
    <mergeCell ref="CN30:CQ30"/>
    <mergeCell ref="CR30:DB30"/>
    <mergeCell ref="CF31:CI31"/>
    <mergeCell ref="AQ31:AT31"/>
    <mergeCell ref="AU31:AW31"/>
    <mergeCell ref="AX31:AZ31"/>
    <mergeCell ref="BA31:BC31"/>
    <mergeCell ref="BD31:BF31"/>
    <mergeCell ref="BG31:BI31"/>
    <mergeCell ref="BJ31:BM31"/>
    <mergeCell ref="BN31:BS31"/>
    <mergeCell ref="BT31:BX31"/>
    <mergeCell ref="CR31:DB31"/>
    <mergeCell ref="AQ30:AT30"/>
    <mergeCell ref="AU30:AW30"/>
    <mergeCell ref="CF30:CI30"/>
    <mergeCell ref="BY30:CA30"/>
    <mergeCell ref="B32:D32"/>
    <mergeCell ref="DG30:DJ30"/>
    <mergeCell ref="EF30:EJ30"/>
    <mergeCell ref="EF31:EJ31"/>
    <mergeCell ref="DG31:DJ31"/>
    <mergeCell ref="DO24:DS24"/>
    <mergeCell ref="DO25:DS25"/>
    <mergeCell ref="DG28:DJ28"/>
    <mergeCell ref="DG29:DJ29"/>
    <mergeCell ref="EF28:EJ28"/>
    <mergeCell ref="EF29:EJ29"/>
    <mergeCell ref="DX26:EA26"/>
    <mergeCell ref="DX27:EA27"/>
    <mergeCell ref="EB26:EE26"/>
    <mergeCell ref="EB27:EE27"/>
    <mergeCell ref="DX28:EA28"/>
    <mergeCell ref="EF26:EJ26"/>
    <mergeCell ref="EB28:EE28"/>
    <mergeCell ref="EB29:EE29"/>
    <mergeCell ref="DK28:DN28"/>
    <mergeCell ref="DG27:DJ27"/>
    <mergeCell ref="DT30:DW30"/>
    <mergeCell ref="EB30:EE30"/>
    <mergeCell ref="EB31:EE31"/>
    <mergeCell ref="DC12:EJ12"/>
    <mergeCell ref="DC13:DS13"/>
    <mergeCell ref="DC17:DF17"/>
    <mergeCell ref="DC18:DF18"/>
    <mergeCell ref="DC19:DF19"/>
    <mergeCell ref="DC20:DF20"/>
    <mergeCell ref="DC21:DF21"/>
    <mergeCell ref="DX17:EA17"/>
    <mergeCell ref="DX18:EA18"/>
    <mergeCell ref="DX19:EA19"/>
    <mergeCell ref="DX20:EA20"/>
    <mergeCell ref="DX21:EA21"/>
    <mergeCell ref="EF20:EJ20"/>
    <mergeCell ref="EA33:EC33"/>
    <mergeCell ref="DX33:DZ33"/>
    <mergeCell ref="DG33:DI33"/>
    <mergeCell ref="DC25:DF25"/>
    <mergeCell ref="DC26:DF26"/>
    <mergeCell ref="DC27:DF27"/>
    <mergeCell ref="DC28:DF28"/>
    <mergeCell ref="DC29:DF29"/>
    <mergeCell ref="DC30:DF30"/>
    <mergeCell ref="DC31:DF31"/>
    <mergeCell ref="DC33:DF33"/>
    <mergeCell ref="DJ33:DL33"/>
    <mergeCell ref="DO29:DS29"/>
    <mergeCell ref="DO30:DS30"/>
    <mergeCell ref="DO31:DS31"/>
    <mergeCell ref="DT26:DW26"/>
    <mergeCell ref="DT27:DW27"/>
  </mergeCells>
  <conditionalFormatting sqref="CR34:DF34 CR17:DC17 CR18:DB31 CR33:DC33">
    <cfRule type="cellIs" dxfId="54" priority="32" operator="equal">
      <formula>"Sıvılaşma Yok"</formula>
    </cfRule>
    <cfRule type="cellIs" dxfId="53" priority="33" operator="equal">
      <formula>"Sıvılaşma Beklenir"</formula>
    </cfRule>
  </conditionalFormatting>
  <conditionalFormatting sqref="EH34:EV34">
    <cfRule type="cellIs" dxfId="52" priority="28" operator="equal">
      <formula>"Çok Düşük"</formula>
    </cfRule>
    <cfRule type="cellIs" dxfId="51" priority="29" operator="equal">
      <formula>"Düşük"</formula>
    </cfRule>
    <cfRule type="cellIs" dxfId="50" priority="30" operator="equal">
      <formula>"Çok Yüksek"</formula>
    </cfRule>
    <cfRule type="cellIs" dxfId="49" priority="31" operator="equal">
      <formula>"Yüksek"</formula>
    </cfRule>
  </conditionalFormatting>
  <conditionalFormatting sqref="DX33">
    <cfRule type="cellIs" dxfId="48" priority="16" operator="equal">
      <formula>"Çok Düşük"</formula>
    </cfRule>
    <cfRule type="cellIs" dxfId="47" priority="17" operator="equal">
      <formula>"Düşük"</formula>
    </cfRule>
    <cfRule type="cellIs" dxfId="46" priority="18" operator="equal">
      <formula>"Çok Yüksek"</formula>
    </cfRule>
    <cfRule type="cellIs" dxfId="45" priority="19" operator="equal">
      <formula>"Yüksek"</formula>
    </cfRule>
  </conditionalFormatting>
  <conditionalFormatting sqref="ED33 DG33 DM33">
    <cfRule type="cellIs" dxfId="44" priority="20" operator="equal">
      <formula>"Çok Düşük"</formula>
    </cfRule>
    <cfRule type="cellIs" dxfId="43" priority="21" operator="equal">
      <formula>"Düşük"</formula>
    </cfRule>
    <cfRule type="cellIs" dxfId="42" priority="22" operator="equal">
      <formula>"Çok Yüksek"</formula>
    </cfRule>
    <cfRule type="cellIs" dxfId="41" priority="23" operator="equal">
      <formula>"Yüksek"</formula>
    </cfRule>
  </conditionalFormatting>
  <conditionalFormatting sqref="ED33:EJ33">
    <cfRule type="cellIs" dxfId="40" priority="5" operator="equal">
      <formula>"Sıvılaşma Yok"</formula>
    </cfRule>
    <cfRule type="cellIs" dxfId="39" priority="8" operator="equal">
      <formula>"Orta"</formula>
    </cfRule>
  </conditionalFormatting>
  <conditionalFormatting sqref="DX33 EA33">
    <cfRule type="cellIs" dxfId="38" priority="7" operator="equal">
      <formula>"Sıvılaşma Yok"</formula>
    </cfRule>
  </conditionalFormatting>
  <conditionalFormatting sqref="V17:Y31">
    <cfRule type="expression" dxfId="37" priority="3">
      <formula>V17&gt;=12</formula>
    </cfRule>
  </conditionalFormatting>
  <conditionalFormatting sqref="Z17:AB31">
    <cfRule type="expression" dxfId="36" priority="44">
      <formula>AND($BL$9="DTS - 4",V17&gt;10,Z17&gt;20)</formula>
    </cfRule>
  </conditionalFormatting>
  <conditionalFormatting sqref="V17:Y31">
    <cfRule type="expression" dxfId="35" priority="45">
      <formula>AND($BL$9="DTS - 4",V17&gt;10,Z17&gt;20)</formula>
    </cfRule>
  </conditionalFormatting>
  <conditionalFormatting sqref="AI17:AL31">
    <cfRule type="expression" dxfId="34" priority="46">
      <formula>AND($BL$9="DTS - 4",AI17&gt;35,BJ17&gt;20)</formula>
    </cfRule>
  </conditionalFormatting>
  <conditionalFormatting sqref="DT33">
    <cfRule type="cellIs" dxfId="33" priority="1" operator="equal">
      <formula>"Sıvılaşma Yok"</formula>
    </cfRule>
    <cfRule type="cellIs" dxfId="32" priority="2" operator="equal">
      <formula>"Sıvılaşma Beklenir"</formula>
    </cfRule>
  </conditionalFormatting>
  <printOptions horizontalCentered="1" verticalCentered="1"/>
  <pageMargins left="0.19685039370078741" right="0.19685039370078741" top="0.59055118110236227" bottom="0.39370078740157483" header="0" footer="0"/>
  <pageSetup paperSize="9" scale="59"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Tablolar!$A$32:$A$40</xm:f>
          </x14:formula1>
          <xm:sqref>BL9</xm:sqref>
        </x14:dataValidation>
        <x14:dataValidation type="list" allowBlank="1" showInputMessage="1" showErrorMessage="1">
          <x14:formula1>
            <xm:f>Tablolar!$T$2:$T$49</xm:f>
          </x14:formula1>
          <xm:sqref>Q18:U31</xm:sqref>
        </x14:dataValidation>
        <x14:dataValidation type="list" allowBlank="1" showInputMessage="1" showErrorMessage="1">
          <x14:formula1>
            <xm:f>Tablolar!$T$2:$T$50</xm:f>
          </x14:formula1>
          <xm:sqref>Q17:U17</xm:sqref>
        </x14:dataValidation>
        <x14:dataValidation type="list" allowBlank="1" showInputMessage="1" showErrorMessage="1">
          <x14:formula1>
            <xm:f>Tablolar!$C$7:$C$8</xm:f>
          </x14:formula1>
          <xm:sqref>Z11</xm:sqref>
        </x14:dataValidation>
        <x14:dataValidation type="list" allowBlank="1" showInputMessage="1" showErrorMessage="1">
          <x14:formula1>
            <xm:f>Tablolar!$C$10:$C$12</xm:f>
          </x14:formula1>
          <xm:sqref>AM11</xm:sqref>
        </x14:dataValidation>
        <x14:dataValidation type="list" allowBlank="1" showInputMessage="1" showErrorMessage="1">
          <x14:formula1>
            <xm:f>Tablolar!$N$2:$N$32</xm:f>
          </x14:formula1>
          <xm:sqref>L17:P31</xm:sqref>
        </x14:dataValidation>
        <x14:dataValidation type="list" allowBlank="1" showInputMessage="1" showErrorMessage="1">
          <x14:formula1>
            <xm:f>Tablolar!$C$14:$C$16</xm:f>
          </x14:formula1>
          <xm:sqref>BC11</xm:sqref>
        </x14:dataValidation>
        <x14:dataValidation type="list" allowBlank="1" showInputMessage="1" showErrorMessage="1">
          <x14:formula1>
            <xm:f>Tablolar!$A$26:$A$29</xm:f>
          </x14:formula1>
          <xm:sqref>CD8</xm:sqref>
        </x14:dataValidation>
        <x14:dataValidation type="list" allowBlank="1" showInputMessage="1" showErrorMessage="1">
          <x14:formula1>
            <xm:f>Tablolar!$A$45:$A$50</xm:f>
          </x14:formula1>
          <xm:sqref>BT7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pageSetUpPr fitToPage="1"/>
  </sheetPr>
  <dimension ref="A1:RJ629"/>
  <sheetViews>
    <sheetView view="pageBreakPreview" zoomScale="80" zoomScaleNormal="80" zoomScaleSheetLayoutView="80" workbookViewId="0">
      <selection activeCell="AD25" sqref="AD25:AN25"/>
    </sheetView>
  </sheetViews>
  <sheetFormatPr defaultColWidth="9.140625" defaultRowHeight="15.75"/>
  <cols>
    <col min="1" max="1" width="1.7109375" style="5" customWidth="1"/>
    <col min="2" max="21" width="1.7109375" style="1" customWidth="1"/>
    <col min="22" max="25" width="2.28515625" style="1" customWidth="1"/>
    <col min="26" max="86" width="1.7109375" style="1" customWidth="1"/>
    <col min="87" max="87" width="2.28515625" style="1" customWidth="1"/>
    <col min="88" max="119" width="1.7109375" style="1" customWidth="1"/>
    <col min="120" max="126" width="1.7109375" style="5" customWidth="1"/>
    <col min="127" max="127" width="1.42578125" style="5" customWidth="1"/>
    <col min="128" max="139" width="1.7109375" style="5" customWidth="1"/>
    <col min="140" max="141" width="2.28515625" style="5" customWidth="1"/>
    <col min="142" max="438" width="1.7109375" style="5" customWidth="1"/>
    <col min="439" max="575" width="1.7109375" style="1" customWidth="1"/>
    <col min="576" max="16384" width="9.140625" style="1"/>
  </cols>
  <sheetData>
    <row r="1" spans="2:478" s="5" customFormat="1" ht="9.9499999999999993" customHeight="1" thickBot="1">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row>
    <row r="2" spans="2:478" ht="20.100000000000001" customHeight="1" thickTop="1">
      <c r="B2" s="436" t="s">
        <v>284</v>
      </c>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8"/>
      <c r="CK2" s="97"/>
      <c r="CL2" s="97"/>
      <c r="CM2" s="97"/>
      <c r="CN2" s="97"/>
      <c r="CO2" s="97"/>
      <c r="CP2" s="97"/>
      <c r="CQ2" s="97"/>
      <c r="CR2" s="97"/>
      <c r="CS2" s="97"/>
      <c r="CT2" s="97"/>
      <c r="CU2" s="97"/>
      <c r="CV2" s="97"/>
      <c r="CW2" s="97"/>
      <c r="CX2" s="97"/>
      <c r="CY2" s="97"/>
      <c r="CZ2" s="97"/>
      <c r="DA2" s="98"/>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row>
    <row r="3" spans="2:478" ht="20.100000000000001" customHeight="1">
      <c r="B3" s="439"/>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0"/>
      <c r="CB3" s="440"/>
      <c r="CC3" s="440"/>
      <c r="CD3" s="440"/>
      <c r="CE3" s="440"/>
      <c r="CF3" s="440"/>
      <c r="CG3" s="440"/>
      <c r="CH3" s="440"/>
      <c r="CI3" s="440"/>
      <c r="CJ3" s="441"/>
      <c r="CK3" s="97"/>
      <c r="CL3" s="97"/>
      <c r="CM3" s="97"/>
      <c r="CN3" s="97"/>
      <c r="CO3" s="97"/>
      <c r="CP3" s="97"/>
      <c r="CQ3" s="97"/>
      <c r="CR3" s="97"/>
      <c r="CS3" s="97"/>
      <c r="CT3" s="97"/>
      <c r="CU3" s="97"/>
      <c r="CV3" s="97"/>
      <c r="CW3" s="97"/>
      <c r="CX3" s="97"/>
      <c r="CY3" s="97"/>
      <c r="CZ3" s="97"/>
      <c r="DA3" s="98"/>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row>
    <row r="4" spans="2:478" ht="20.100000000000001" customHeight="1" thickBot="1">
      <c r="B4" s="442"/>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4"/>
      <c r="CK4" s="97"/>
      <c r="CL4" s="97"/>
      <c r="CM4" s="97"/>
      <c r="CN4" s="97"/>
      <c r="CO4" s="97"/>
      <c r="CP4" s="97"/>
      <c r="CQ4" s="97"/>
      <c r="CR4" s="97"/>
      <c r="CS4" s="97"/>
      <c r="CT4" s="97"/>
      <c r="CU4" s="97"/>
      <c r="CV4" s="97"/>
      <c r="CW4" s="97"/>
      <c r="CX4" s="97"/>
      <c r="CY4" s="97"/>
      <c r="CZ4" s="97"/>
      <c r="DA4" s="98"/>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8"/>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row>
    <row r="5" spans="2:478" ht="33" customHeight="1" thickTop="1" thickBot="1">
      <c r="B5" s="457"/>
      <c r="C5" s="458"/>
      <c r="D5" s="458"/>
      <c r="E5" s="458"/>
      <c r="F5" s="458"/>
      <c r="G5" s="458"/>
      <c r="H5" s="458"/>
      <c r="I5" s="458"/>
      <c r="J5" s="458"/>
      <c r="K5" s="458"/>
      <c r="L5" s="458"/>
      <c r="M5" s="458"/>
      <c r="N5" s="458"/>
      <c r="O5" s="458"/>
      <c r="P5" s="458"/>
      <c r="Q5" s="633"/>
      <c r="R5" s="464" t="s">
        <v>44</v>
      </c>
      <c r="S5" s="465"/>
      <c r="T5" s="465"/>
      <c r="U5" s="465"/>
      <c r="V5" s="465"/>
      <c r="W5" s="465"/>
      <c r="X5" s="465"/>
      <c r="Y5" s="465"/>
      <c r="Z5" s="465"/>
      <c r="AA5" s="465"/>
      <c r="AB5" s="465"/>
      <c r="AC5" s="466"/>
      <c r="AD5" s="637" t="str">
        <f>+'Sıvılaşma Potansiyeli Analizi'!AC5</f>
        <v>XXX PROJESİ</v>
      </c>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c r="CF5" s="638"/>
      <c r="CG5" s="638"/>
      <c r="CH5" s="638"/>
      <c r="CI5" s="638"/>
      <c r="CJ5" s="639"/>
      <c r="CK5" s="99"/>
      <c r="CL5" s="98"/>
      <c r="CM5" s="98"/>
      <c r="CN5" s="96"/>
      <c r="CO5" s="96"/>
      <c r="CP5" s="96"/>
      <c r="CQ5" s="96"/>
      <c r="CR5" s="96"/>
      <c r="CS5" s="96"/>
      <c r="CT5" s="96"/>
      <c r="CU5" s="96"/>
      <c r="CV5" s="96"/>
      <c r="CW5" s="96"/>
      <c r="CX5" s="96"/>
      <c r="CY5" s="96"/>
      <c r="CZ5" s="96"/>
      <c r="DA5" s="98"/>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8"/>
      <c r="EL5" s="24"/>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24"/>
      <c r="GO5" s="24"/>
      <c r="GP5" s="24"/>
      <c r="GQ5" s="24"/>
      <c r="GR5" s="24"/>
      <c r="GS5" s="24"/>
      <c r="GT5" s="24"/>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row>
    <row r="6" spans="2:478" ht="24" customHeight="1" thickTop="1">
      <c r="B6" s="459"/>
      <c r="C6" s="460"/>
      <c r="D6" s="460"/>
      <c r="E6" s="460"/>
      <c r="F6" s="460"/>
      <c r="G6" s="460"/>
      <c r="H6" s="460"/>
      <c r="I6" s="460"/>
      <c r="J6" s="460"/>
      <c r="K6" s="460"/>
      <c r="L6" s="460"/>
      <c r="M6" s="460"/>
      <c r="N6" s="460"/>
      <c r="O6" s="460"/>
      <c r="P6" s="460"/>
      <c r="Q6" s="634"/>
      <c r="R6" s="470" t="s">
        <v>23</v>
      </c>
      <c r="S6" s="471"/>
      <c r="T6" s="471"/>
      <c r="U6" s="471"/>
      <c r="V6" s="471"/>
      <c r="W6" s="471"/>
      <c r="X6" s="471"/>
      <c r="Y6" s="471"/>
      <c r="Z6" s="471"/>
      <c r="AA6" s="471"/>
      <c r="AB6" s="471"/>
      <c r="AC6" s="472"/>
      <c r="AD6" s="720" t="str">
        <f>+'Sıvılaşma Potansiyeli Analizi'!$AC$6</f>
        <v xml:space="preserve">XXX </v>
      </c>
      <c r="AE6" s="721"/>
      <c r="AF6" s="721"/>
      <c r="AG6" s="721"/>
      <c r="AH6" s="721"/>
      <c r="AI6" s="721"/>
      <c r="AJ6" s="721"/>
      <c r="AK6" s="721"/>
      <c r="AL6" s="721"/>
      <c r="AM6" s="721"/>
      <c r="AN6" s="721"/>
      <c r="AO6" s="494" t="s">
        <v>30</v>
      </c>
      <c r="AP6" s="495"/>
      <c r="AQ6" s="495"/>
      <c r="AR6" s="495"/>
      <c r="AS6" s="495"/>
      <c r="AT6" s="495"/>
      <c r="AU6" s="495"/>
      <c r="AV6" s="495"/>
      <c r="AW6" s="495"/>
      <c r="AX6" s="495"/>
      <c r="AY6" s="495"/>
      <c r="AZ6" s="495"/>
      <c r="BA6" s="495"/>
      <c r="BB6" s="495"/>
      <c r="BC6" s="495"/>
      <c r="BD6" s="495"/>
      <c r="BE6" s="445" t="s">
        <v>25</v>
      </c>
      <c r="BF6" s="445"/>
      <c r="BG6" s="445"/>
      <c r="BH6" s="445"/>
      <c r="BI6" s="445"/>
      <c r="BJ6" s="445"/>
      <c r="BK6" s="445"/>
      <c r="BL6" s="445"/>
      <c r="BM6" s="445"/>
      <c r="BN6" s="449" t="s">
        <v>26</v>
      </c>
      <c r="BO6" s="722"/>
      <c r="BP6" s="722"/>
      <c r="BQ6" s="722"/>
      <c r="BR6" s="722"/>
      <c r="BS6" s="722"/>
      <c r="BT6" s="722"/>
      <c r="BU6" s="722"/>
      <c r="BV6" s="722"/>
      <c r="BW6" s="829" t="s">
        <v>28</v>
      </c>
      <c r="BX6" s="722"/>
      <c r="BY6" s="722"/>
      <c r="BZ6" s="722"/>
      <c r="CA6" s="722"/>
      <c r="CB6" s="722"/>
      <c r="CC6" s="722"/>
      <c r="CD6" s="722"/>
      <c r="CE6" s="449" t="s">
        <v>27</v>
      </c>
      <c r="CF6" s="722"/>
      <c r="CG6" s="722"/>
      <c r="CH6" s="722"/>
      <c r="CI6" s="722"/>
      <c r="CJ6" s="830"/>
      <c r="CK6" s="100"/>
      <c r="CL6" s="100"/>
      <c r="CM6" s="100"/>
      <c r="CN6" s="100"/>
      <c r="CO6" s="100"/>
      <c r="CP6" s="100"/>
      <c r="CQ6" s="100"/>
      <c r="CR6" s="100"/>
      <c r="CS6" s="100"/>
      <c r="CT6" s="100"/>
      <c r="CU6" s="100"/>
      <c r="CV6" s="100"/>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6"/>
      <c r="EB6" s="96"/>
      <c r="EC6" s="96"/>
      <c r="ED6" s="96"/>
      <c r="EE6" s="96"/>
      <c r="EF6" s="96"/>
      <c r="EG6" s="96"/>
      <c r="EH6" s="96"/>
      <c r="EI6" s="96"/>
      <c r="EJ6" s="96"/>
      <c r="EK6" s="98"/>
      <c r="EL6" s="24"/>
      <c r="EM6" s="24"/>
      <c r="EN6" s="24"/>
      <c r="EO6" s="24"/>
      <c r="EP6" s="88"/>
      <c r="EQ6" s="88"/>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HB6" s="26"/>
      <c r="HC6" s="209"/>
      <c r="HD6" s="209"/>
      <c r="HE6" s="209"/>
      <c r="HF6" s="24"/>
      <c r="HG6" s="210"/>
      <c r="HH6" s="210"/>
      <c r="HI6" s="210"/>
      <c r="HJ6" s="210"/>
      <c r="HK6" s="210"/>
      <c r="HL6" s="210"/>
      <c r="HM6" s="210"/>
      <c r="HN6" s="210"/>
      <c r="HO6" s="210"/>
      <c r="HP6" s="210"/>
      <c r="HQ6" s="27"/>
      <c r="HR6" s="24"/>
      <c r="HS6" s="24"/>
      <c r="HT6" s="24"/>
      <c r="HU6" s="24"/>
      <c r="HV6" s="24"/>
      <c r="HW6" s="24"/>
      <c r="HX6" s="24"/>
      <c r="HY6" s="24"/>
      <c r="HZ6" s="24"/>
      <c r="IA6" s="24"/>
      <c r="IB6" s="26"/>
      <c r="IC6" s="26"/>
      <c r="ID6" s="26"/>
      <c r="IE6" s="26"/>
      <c r="IF6" s="26"/>
      <c r="IG6" s="26"/>
      <c r="IH6" s="26"/>
      <c r="II6" s="26"/>
      <c r="IJ6" s="26"/>
      <c r="IK6" s="26"/>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row>
    <row r="7" spans="2:478" ht="24" customHeight="1" thickBot="1">
      <c r="B7" s="459"/>
      <c r="C7" s="460"/>
      <c r="D7" s="460"/>
      <c r="E7" s="460"/>
      <c r="F7" s="460"/>
      <c r="G7" s="460"/>
      <c r="H7" s="460"/>
      <c r="I7" s="460"/>
      <c r="J7" s="460"/>
      <c r="K7" s="460"/>
      <c r="L7" s="460"/>
      <c r="M7" s="460"/>
      <c r="N7" s="460"/>
      <c r="O7" s="460"/>
      <c r="P7" s="460"/>
      <c r="Q7" s="634"/>
      <c r="R7" s="476" t="s">
        <v>24</v>
      </c>
      <c r="S7" s="477"/>
      <c r="T7" s="477"/>
      <c r="U7" s="477"/>
      <c r="V7" s="477"/>
      <c r="W7" s="477"/>
      <c r="X7" s="477"/>
      <c r="Y7" s="477"/>
      <c r="Z7" s="477"/>
      <c r="AA7" s="477"/>
      <c r="AB7" s="477"/>
      <c r="AC7" s="478"/>
      <c r="AD7" s="713" t="str">
        <f>+'Sıvılaşma Potansiyeli Analizi'!$AC$7</f>
        <v xml:space="preserve">XXX </v>
      </c>
      <c r="AE7" s="714"/>
      <c r="AF7" s="714"/>
      <c r="AG7" s="714"/>
      <c r="AH7" s="714"/>
      <c r="AI7" s="714"/>
      <c r="AJ7" s="714"/>
      <c r="AK7" s="714"/>
      <c r="AL7" s="714"/>
      <c r="AM7" s="714"/>
      <c r="AN7" s="714"/>
      <c r="AO7" s="496"/>
      <c r="AP7" s="497"/>
      <c r="AQ7" s="497"/>
      <c r="AR7" s="497"/>
      <c r="AS7" s="497"/>
      <c r="AT7" s="497"/>
      <c r="AU7" s="497"/>
      <c r="AV7" s="497"/>
      <c r="AW7" s="497"/>
      <c r="AX7" s="497"/>
      <c r="AY7" s="497"/>
      <c r="AZ7" s="497"/>
      <c r="BA7" s="497"/>
      <c r="BB7" s="497"/>
      <c r="BC7" s="497"/>
      <c r="BD7" s="497"/>
      <c r="BE7" s="715">
        <f>+'Sıvılaşma Potansiyeli Analizi'!$BC$7</f>
        <v>1234567.8500000001</v>
      </c>
      <c r="BF7" s="715"/>
      <c r="BG7" s="715"/>
      <c r="BH7" s="715"/>
      <c r="BI7" s="715"/>
      <c r="BJ7" s="715"/>
      <c r="BK7" s="715"/>
      <c r="BL7" s="715"/>
      <c r="BM7" s="715"/>
      <c r="BN7" s="716">
        <f>+'Sıvılaşma Potansiyeli Analizi'!$BL$7</f>
        <v>1234568.8500000001</v>
      </c>
      <c r="BO7" s="717"/>
      <c r="BP7" s="717"/>
      <c r="BQ7" s="717"/>
      <c r="BR7" s="717"/>
      <c r="BS7" s="717"/>
      <c r="BT7" s="717"/>
      <c r="BU7" s="717"/>
      <c r="BV7" s="717"/>
      <c r="BW7" s="827" t="str">
        <f>+'Sıvılaşma Potansiyeli Analizi'!$BT$7</f>
        <v>WGS 84</v>
      </c>
      <c r="BX7" s="828"/>
      <c r="BY7" s="828"/>
      <c r="BZ7" s="828"/>
      <c r="CA7" s="828"/>
      <c r="CB7" s="828"/>
      <c r="CC7" s="828"/>
      <c r="CD7" s="828"/>
      <c r="CE7" s="796">
        <f>+'Sıvılaşma Potansiyeli Analizi'!$CD$7</f>
        <v>1205.8399999999999</v>
      </c>
      <c r="CF7" s="797"/>
      <c r="CG7" s="797"/>
      <c r="CH7" s="797"/>
      <c r="CI7" s="797"/>
      <c r="CJ7" s="798"/>
      <c r="CK7" s="101"/>
      <c r="CL7" s="101"/>
      <c r="CM7" s="101"/>
      <c r="CN7" s="101"/>
      <c r="CO7" s="101"/>
      <c r="CP7" s="101"/>
      <c r="CQ7" s="101"/>
      <c r="CR7" s="101"/>
      <c r="CS7" s="101"/>
      <c r="CT7" s="101"/>
      <c r="CU7" s="101"/>
      <c r="CV7" s="101"/>
      <c r="CW7" s="98"/>
      <c r="CX7" s="98"/>
      <c r="CY7" s="98"/>
      <c r="CZ7" s="98"/>
      <c r="DA7" s="98"/>
      <c r="DB7" s="98"/>
      <c r="DC7" s="102"/>
      <c r="DD7" s="102"/>
      <c r="DE7" s="102"/>
      <c r="DF7" s="98"/>
      <c r="DG7" s="98"/>
      <c r="DH7" s="98"/>
      <c r="DI7" s="98"/>
      <c r="DJ7" s="98"/>
      <c r="DK7" s="98"/>
      <c r="DL7" s="98"/>
      <c r="DM7" s="98"/>
      <c r="DN7" s="98"/>
      <c r="DO7" s="98"/>
      <c r="DP7" s="98"/>
      <c r="DQ7" s="98"/>
      <c r="DR7" s="98"/>
      <c r="DS7" s="98"/>
      <c r="DT7" s="98"/>
      <c r="DU7" s="98"/>
      <c r="DV7" s="98"/>
      <c r="DW7" s="98"/>
      <c r="DX7" s="98"/>
      <c r="DY7" s="98"/>
      <c r="DZ7" s="98"/>
      <c r="EA7" s="96"/>
      <c r="EB7" s="96"/>
      <c r="EC7" s="96"/>
      <c r="ED7" s="96"/>
      <c r="EE7" s="96"/>
      <c r="EF7" s="96"/>
      <c r="EG7" s="96"/>
      <c r="EH7" s="96"/>
      <c r="EI7" s="96"/>
      <c r="EJ7" s="96"/>
      <c r="EK7" s="98"/>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HB7" s="267"/>
      <c r="HC7" s="24"/>
      <c r="HD7" s="24"/>
      <c r="HE7" s="24"/>
      <c r="HF7" s="24"/>
      <c r="HG7" s="24"/>
      <c r="HH7" s="24"/>
      <c r="HI7" s="24"/>
      <c r="HJ7" s="24"/>
      <c r="HK7" s="24"/>
      <c r="HL7" s="24"/>
      <c r="HM7" s="24"/>
      <c r="HN7" s="24"/>
      <c r="HO7" s="24"/>
      <c r="HP7" s="24"/>
      <c r="HQ7" s="265"/>
      <c r="HR7" s="265"/>
      <c r="HS7" s="265"/>
      <c r="HT7" s="265"/>
      <c r="HU7" s="265"/>
      <c r="HV7" s="265"/>
      <c r="HW7" s="265"/>
      <c r="HX7" s="265"/>
      <c r="HY7" s="265"/>
      <c r="HZ7" s="265"/>
      <c r="IA7" s="26"/>
      <c r="IB7" s="26"/>
      <c r="IC7" s="26"/>
      <c r="ID7" s="26"/>
      <c r="IE7" s="26"/>
      <c r="IF7" s="26"/>
      <c r="IG7" s="26"/>
      <c r="IH7" s="26"/>
      <c r="II7" s="26"/>
      <c r="IJ7" s="26"/>
      <c r="IK7" s="26"/>
      <c r="IR7" s="26"/>
      <c r="IS7" s="26"/>
      <c r="IT7" s="26"/>
      <c r="IU7" s="26"/>
      <c r="IV7" s="26"/>
      <c r="IW7" s="26"/>
      <c r="IX7" s="26"/>
      <c r="IY7" s="26"/>
      <c r="IZ7" s="26"/>
      <c r="JA7" s="26"/>
      <c r="JB7" s="26"/>
      <c r="JC7" s="26"/>
      <c r="JD7" s="26"/>
      <c r="JE7" s="24"/>
      <c r="JF7" s="27"/>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row>
    <row r="8" spans="2:478" ht="24" customHeight="1" thickTop="1" thickBot="1">
      <c r="B8" s="459"/>
      <c r="C8" s="460"/>
      <c r="D8" s="460"/>
      <c r="E8" s="460"/>
      <c r="F8" s="460"/>
      <c r="G8" s="460"/>
      <c r="H8" s="460"/>
      <c r="I8" s="460"/>
      <c r="J8" s="460"/>
      <c r="K8" s="460"/>
      <c r="L8" s="460"/>
      <c r="M8" s="460"/>
      <c r="N8" s="460"/>
      <c r="O8" s="460"/>
      <c r="P8" s="460"/>
      <c r="Q8" s="634"/>
      <c r="R8" s="724" t="s">
        <v>158</v>
      </c>
      <c r="S8" s="725"/>
      <c r="T8" s="725"/>
      <c r="U8" s="725"/>
      <c r="V8" s="725"/>
      <c r="W8" s="725"/>
      <c r="X8" s="725"/>
      <c r="Y8" s="725"/>
      <c r="Z8" s="725"/>
      <c r="AA8" s="725"/>
      <c r="AB8" s="725"/>
      <c r="AC8" s="725"/>
      <c r="AD8" s="726">
        <f>+'Sıvılaşma Potansiyeli Analizi'!$AC$8</f>
        <v>1</v>
      </c>
      <c r="AE8" s="726"/>
      <c r="AF8" s="726"/>
      <c r="AG8" s="726"/>
      <c r="AH8" s="726"/>
      <c r="AI8" s="726"/>
      <c r="AJ8" s="726"/>
      <c r="AK8" s="726"/>
      <c r="AL8" s="726"/>
      <c r="AM8" s="726"/>
      <c r="AN8" s="727"/>
      <c r="AO8" s="490" t="s">
        <v>232</v>
      </c>
      <c r="AP8" s="491"/>
      <c r="AQ8" s="491"/>
      <c r="AR8" s="491"/>
      <c r="AS8" s="491"/>
      <c r="AT8" s="491"/>
      <c r="AU8" s="491"/>
      <c r="AV8" s="491"/>
      <c r="AW8" s="491"/>
      <c r="AX8" s="491"/>
      <c r="AY8" s="491"/>
      <c r="AZ8" s="491"/>
      <c r="BA8" s="491"/>
      <c r="BB8" s="491"/>
      <c r="BC8" s="491"/>
      <c r="BD8" s="491"/>
      <c r="BE8" s="718">
        <f>+'Sıvılaşma Potansiyeli Analizi'!$BC$8</f>
        <v>2</v>
      </c>
      <c r="BF8" s="719"/>
      <c r="BG8" s="719"/>
      <c r="BH8" s="719"/>
      <c r="BI8" s="719"/>
      <c r="BJ8" s="719"/>
      <c r="BK8" s="719"/>
      <c r="BL8" s="719"/>
      <c r="BM8" s="719"/>
      <c r="BN8" s="719"/>
      <c r="BO8" s="719"/>
      <c r="BP8" s="719"/>
      <c r="BQ8" s="719"/>
      <c r="BR8" s="719"/>
      <c r="BS8" s="719"/>
      <c r="BT8" s="719"/>
      <c r="BU8" s="719"/>
      <c r="BV8" s="719"/>
      <c r="BW8" s="825" t="s">
        <v>296</v>
      </c>
      <c r="BX8" s="826"/>
      <c r="BY8" s="826"/>
      <c r="BZ8" s="826"/>
      <c r="CA8" s="826"/>
      <c r="CB8" s="826"/>
      <c r="CC8" s="826"/>
      <c r="CD8" s="826"/>
      <c r="CE8" s="799" t="str">
        <f>+'Sıvılaşma Potansiyeli Analizi'!$CD$8</f>
        <v>ZD</v>
      </c>
      <c r="CF8" s="458"/>
      <c r="CG8" s="458"/>
      <c r="CH8" s="458"/>
      <c r="CI8" s="458"/>
      <c r="CJ8" s="800"/>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6"/>
      <c r="EB8" s="96"/>
      <c r="EC8" s="96"/>
      <c r="ED8" s="96"/>
      <c r="EE8" s="96"/>
      <c r="EF8" s="96"/>
      <c r="EG8" s="96"/>
      <c r="EH8" s="96"/>
      <c r="EI8" s="96"/>
      <c r="EJ8" s="96"/>
      <c r="EK8" s="98"/>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HB8" s="267"/>
      <c r="HC8" s="24"/>
      <c r="HD8" s="24"/>
      <c r="HE8" s="24"/>
      <c r="HF8" s="24"/>
      <c r="HG8" s="24"/>
      <c r="HH8" s="24"/>
      <c r="HI8" s="24"/>
      <c r="HJ8" s="24"/>
      <c r="HK8" s="24"/>
      <c r="HL8" s="24"/>
      <c r="HM8" s="24"/>
      <c r="HN8" s="24"/>
      <c r="HO8" s="24"/>
      <c r="HP8" s="24"/>
      <c r="HQ8" s="265"/>
      <c r="HR8" s="265"/>
      <c r="HS8" s="265"/>
      <c r="HT8" s="265"/>
      <c r="HU8" s="265"/>
      <c r="HV8" s="265"/>
      <c r="HW8" s="265"/>
      <c r="HX8" s="265"/>
      <c r="HY8" s="265"/>
      <c r="HZ8" s="265"/>
      <c r="IA8" s="24"/>
      <c r="IB8" s="26"/>
      <c r="IC8" s="26"/>
      <c r="ID8" s="26"/>
      <c r="IE8" s="26"/>
      <c r="IF8" s="26"/>
      <c r="IG8" s="26"/>
      <c r="IH8" s="26"/>
      <c r="II8" s="26"/>
      <c r="IJ8" s="26"/>
      <c r="IK8" s="26"/>
      <c r="IR8" s="26"/>
      <c r="IS8" s="26"/>
      <c r="IT8" s="26"/>
      <c r="IU8" s="26"/>
      <c r="IV8" s="26"/>
      <c r="IW8" s="26"/>
      <c r="IX8" s="26"/>
      <c r="IY8" s="26"/>
      <c r="IZ8" s="26"/>
      <c r="JA8" s="26"/>
      <c r="JB8" s="26"/>
      <c r="JC8" s="26"/>
      <c r="JD8" s="26"/>
      <c r="JE8" s="24"/>
      <c r="JF8" s="24"/>
      <c r="JG8" s="24"/>
      <c r="JH8" s="24"/>
      <c r="JI8" s="24"/>
      <c r="JJ8" s="24"/>
      <c r="JK8" s="24"/>
      <c r="JL8" s="24"/>
      <c r="JM8" s="24"/>
      <c r="JN8" s="24"/>
      <c r="JO8" s="24"/>
      <c r="JP8" s="24"/>
      <c r="JQ8" s="24"/>
      <c r="JR8" s="24"/>
      <c r="JS8" s="24"/>
      <c r="JT8" s="24"/>
      <c r="JU8" s="24"/>
      <c r="JV8" s="24"/>
      <c r="JW8" s="24"/>
      <c r="JX8" s="265"/>
      <c r="JY8" s="265"/>
      <c r="JZ8" s="265"/>
      <c r="KA8" s="265"/>
      <c r="KB8" s="265"/>
      <c r="KC8" s="265"/>
      <c r="KD8" s="265"/>
      <c r="KE8" s="265"/>
      <c r="KF8" s="265"/>
      <c r="KG8" s="265"/>
      <c r="KH8" s="265"/>
      <c r="KI8" s="24"/>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row>
    <row r="9" spans="2:478" ht="24" customHeight="1" thickTop="1" thickBot="1">
      <c r="B9" s="459"/>
      <c r="C9" s="460"/>
      <c r="D9" s="460"/>
      <c r="E9" s="460"/>
      <c r="F9" s="460"/>
      <c r="G9" s="460"/>
      <c r="H9" s="460"/>
      <c r="I9" s="460"/>
      <c r="J9" s="460"/>
      <c r="K9" s="460"/>
      <c r="L9" s="460"/>
      <c r="M9" s="460"/>
      <c r="N9" s="460"/>
      <c r="O9" s="460"/>
      <c r="P9" s="460"/>
      <c r="Q9" s="634"/>
      <c r="R9" s="464" t="s">
        <v>157</v>
      </c>
      <c r="S9" s="465"/>
      <c r="T9" s="465"/>
      <c r="U9" s="465"/>
      <c r="V9" s="465"/>
      <c r="W9" s="465"/>
      <c r="X9" s="465"/>
      <c r="Y9" s="465"/>
      <c r="Z9" s="465"/>
      <c r="AA9" s="465"/>
      <c r="AB9" s="465"/>
      <c r="AC9" s="465"/>
      <c r="AD9" s="465"/>
      <c r="AE9" s="465"/>
      <c r="AF9" s="465"/>
      <c r="AG9" s="465"/>
      <c r="AH9" s="465"/>
      <c r="AI9" s="465"/>
      <c r="AJ9" s="465"/>
      <c r="AK9" s="465"/>
      <c r="AL9" s="465"/>
      <c r="AM9" s="465"/>
      <c r="AN9" s="465"/>
      <c r="AO9" s="498" t="s">
        <v>295</v>
      </c>
      <c r="AP9" s="499"/>
      <c r="AQ9" s="499"/>
      <c r="AR9" s="499"/>
      <c r="AS9" s="499"/>
      <c r="AT9" s="499"/>
      <c r="AU9" s="499"/>
      <c r="AV9" s="500"/>
      <c r="AW9" s="723">
        <f>+'Sıvılaşma Potansiyeli Analizi'!$AU$9</f>
        <v>6.5</v>
      </c>
      <c r="AX9" s="723"/>
      <c r="AY9" s="723"/>
      <c r="AZ9" s="723"/>
      <c r="BA9" s="723"/>
      <c r="BB9" s="723"/>
      <c r="BC9" s="723"/>
      <c r="BD9" s="723"/>
      <c r="BE9" s="520" t="s">
        <v>146</v>
      </c>
      <c r="BF9" s="521"/>
      <c r="BG9" s="521"/>
      <c r="BH9" s="521"/>
      <c r="BI9" s="521"/>
      <c r="BJ9" s="521"/>
      <c r="BK9" s="521"/>
      <c r="BL9" s="521"/>
      <c r="BM9" s="522"/>
      <c r="BN9" s="635" t="str">
        <f>+'Sıvılaşma Potansiyeli Analizi'!$BL$9</f>
        <v>DTS - 3</v>
      </c>
      <c r="BO9" s="636"/>
      <c r="BP9" s="636"/>
      <c r="BQ9" s="636"/>
      <c r="BR9" s="636"/>
      <c r="BS9" s="636"/>
      <c r="BT9" s="636"/>
      <c r="BU9" s="636"/>
      <c r="BV9" s="636"/>
      <c r="BW9" s="825" t="s">
        <v>297</v>
      </c>
      <c r="BX9" s="826"/>
      <c r="BY9" s="826"/>
      <c r="BZ9" s="826"/>
      <c r="CA9" s="826"/>
      <c r="CB9" s="826"/>
      <c r="CC9" s="826"/>
      <c r="CD9" s="826"/>
      <c r="CE9" s="801">
        <f>+'Sıvılaşma Potansiyeli Analizi'!$CD$9</f>
        <v>0.7</v>
      </c>
      <c r="CF9" s="802"/>
      <c r="CG9" s="802"/>
      <c r="CH9" s="802"/>
      <c r="CI9" s="802"/>
      <c r="CJ9" s="803"/>
      <c r="CK9" s="103"/>
      <c r="CL9" s="103"/>
      <c r="CM9" s="103"/>
      <c r="CN9" s="103"/>
      <c r="CO9" s="103"/>
      <c r="CP9" s="103"/>
      <c r="CQ9" s="103"/>
      <c r="CR9" s="103"/>
      <c r="CS9" s="103"/>
      <c r="CT9" s="103"/>
      <c r="CU9" s="103"/>
      <c r="CV9" s="103"/>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6"/>
      <c r="EB9" s="96"/>
      <c r="EC9" s="96"/>
      <c r="ED9" s="96"/>
      <c r="EE9" s="96"/>
      <c r="EF9" s="96"/>
      <c r="EG9" s="96"/>
      <c r="EH9" s="96"/>
      <c r="EI9" s="96"/>
      <c r="EJ9" s="96"/>
      <c r="EK9" s="98"/>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HB9" s="26"/>
      <c r="HC9" s="265"/>
      <c r="HD9" s="265"/>
      <c r="HE9" s="265"/>
      <c r="HF9" s="265"/>
      <c r="HG9" s="24"/>
      <c r="HH9" s="266"/>
      <c r="HI9" s="266"/>
      <c r="HJ9" s="266"/>
      <c r="HK9" s="266"/>
      <c r="HL9" s="266"/>
      <c r="HM9" s="266"/>
      <c r="HN9" s="266"/>
      <c r="HO9" s="266"/>
      <c r="HP9" s="24"/>
      <c r="HQ9" s="67"/>
      <c r="HR9" s="26"/>
      <c r="HS9" s="26"/>
      <c r="HT9" s="24"/>
      <c r="HU9" s="24"/>
      <c r="HV9" s="24"/>
      <c r="HW9" s="24"/>
      <c r="HX9" s="24"/>
      <c r="HY9" s="24"/>
      <c r="HZ9" s="24"/>
      <c r="IA9" s="24"/>
      <c r="IB9" s="26"/>
      <c r="IC9" s="26"/>
      <c r="ID9" s="26"/>
      <c r="IE9" s="26"/>
      <c r="IF9" s="26"/>
      <c r="IG9" s="26"/>
      <c r="IH9" s="26"/>
      <c r="II9" s="26"/>
      <c r="IJ9" s="26"/>
      <c r="IK9" s="26"/>
      <c r="IR9" s="26"/>
      <c r="IS9" s="26"/>
      <c r="IT9" s="26"/>
      <c r="IU9" s="26"/>
      <c r="IV9" s="26"/>
      <c r="IW9" s="26"/>
      <c r="IX9" s="26"/>
      <c r="IY9" s="26"/>
      <c r="IZ9" s="26"/>
      <c r="JA9" s="26"/>
      <c r="JB9" s="26"/>
      <c r="JC9" s="26"/>
      <c r="JD9" s="26"/>
      <c r="JE9" s="24"/>
      <c r="JF9" s="24"/>
      <c r="JG9" s="24"/>
      <c r="JH9" s="24"/>
      <c r="JI9" s="24"/>
      <c r="JJ9" s="24"/>
      <c r="JK9" s="24"/>
      <c r="JL9" s="24"/>
      <c r="JM9" s="24"/>
      <c r="JN9" s="24"/>
      <c r="JO9" s="24"/>
      <c r="JP9" s="24"/>
      <c r="JQ9" s="24"/>
      <c r="JR9" s="24"/>
      <c r="JS9" s="24"/>
      <c r="JT9" s="24"/>
      <c r="JU9" s="24"/>
      <c r="JV9" s="24"/>
      <c r="JW9" s="27"/>
      <c r="JX9" s="265"/>
      <c r="JY9" s="265"/>
      <c r="JZ9" s="265"/>
      <c r="KA9" s="265"/>
      <c r="KB9" s="265"/>
      <c r="KC9" s="265"/>
      <c r="KD9" s="265"/>
      <c r="KE9" s="265"/>
      <c r="KF9" s="265"/>
      <c r="KG9" s="265"/>
      <c r="KH9" s="265"/>
      <c r="KI9" s="24"/>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row>
    <row r="10" spans="2:478" ht="24" customHeight="1" thickTop="1">
      <c r="B10" s="453" t="s">
        <v>212</v>
      </c>
      <c r="C10" s="454"/>
      <c r="D10" s="454"/>
      <c r="E10" s="454"/>
      <c r="F10" s="454"/>
      <c r="G10" s="454"/>
      <c r="H10" s="454"/>
      <c r="I10" s="454"/>
      <c r="J10" s="454"/>
      <c r="K10" s="454"/>
      <c r="L10" s="454"/>
      <c r="M10" s="454"/>
      <c r="N10" s="454"/>
      <c r="O10" s="454"/>
      <c r="P10" s="454"/>
      <c r="Q10" s="794"/>
      <c r="R10" s="643" t="s">
        <v>103</v>
      </c>
      <c r="S10" s="644"/>
      <c r="T10" s="644"/>
      <c r="U10" s="644"/>
      <c r="V10" s="644"/>
      <c r="W10" s="644"/>
      <c r="X10" s="644"/>
      <c r="Y10" s="644"/>
      <c r="Z10" s="644"/>
      <c r="AA10" s="486" t="s">
        <v>104</v>
      </c>
      <c r="AB10" s="486"/>
      <c r="AC10" s="486"/>
      <c r="AD10" s="486"/>
      <c r="AE10" s="486"/>
      <c r="AF10" s="486"/>
      <c r="AG10" s="486"/>
      <c r="AH10" s="486"/>
      <c r="AI10" s="486"/>
      <c r="AJ10" s="486"/>
      <c r="AK10" s="486"/>
      <c r="AL10" s="486"/>
      <c r="AM10" s="486"/>
      <c r="AN10" s="502"/>
      <c r="AO10" s="485" t="s">
        <v>105</v>
      </c>
      <c r="AP10" s="486"/>
      <c r="AQ10" s="486"/>
      <c r="AR10" s="486"/>
      <c r="AS10" s="486"/>
      <c r="AT10" s="486"/>
      <c r="AU10" s="486"/>
      <c r="AV10" s="486"/>
      <c r="AW10" s="486"/>
      <c r="AX10" s="486"/>
      <c r="AY10" s="486"/>
      <c r="AZ10" s="486"/>
      <c r="BA10" s="486"/>
      <c r="BB10" s="486"/>
      <c r="BC10" s="486"/>
      <c r="BD10" s="486"/>
      <c r="BE10" s="502" t="s">
        <v>106</v>
      </c>
      <c r="BF10" s="503"/>
      <c r="BG10" s="503"/>
      <c r="BH10" s="503"/>
      <c r="BI10" s="503"/>
      <c r="BJ10" s="503"/>
      <c r="BK10" s="503"/>
      <c r="BL10" s="503"/>
      <c r="BM10" s="503"/>
      <c r="BN10" s="503"/>
      <c r="BO10" s="503"/>
      <c r="BP10" s="503"/>
      <c r="BQ10" s="503"/>
      <c r="BR10" s="503"/>
      <c r="BS10" s="503"/>
      <c r="BT10" s="503"/>
      <c r="BU10" s="503"/>
      <c r="BV10" s="503"/>
      <c r="BW10" s="831" t="s">
        <v>107</v>
      </c>
      <c r="BX10" s="503"/>
      <c r="BY10" s="503"/>
      <c r="BZ10" s="503"/>
      <c r="CA10" s="503"/>
      <c r="CB10" s="503"/>
      <c r="CC10" s="503"/>
      <c r="CD10" s="503"/>
      <c r="CE10" s="503"/>
      <c r="CF10" s="503"/>
      <c r="CG10" s="503"/>
      <c r="CH10" s="503"/>
      <c r="CI10" s="503"/>
      <c r="CJ10" s="832"/>
      <c r="CK10" s="104"/>
      <c r="CL10" s="104"/>
      <c r="CM10" s="104"/>
      <c r="CN10" s="104"/>
      <c r="CO10" s="104"/>
      <c r="CP10" s="104"/>
      <c r="CQ10" s="104"/>
      <c r="CR10" s="104"/>
      <c r="CS10" s="104"/>
      <c r="CT10" s="104"/>
      <c r="CU10" s="104"/>
      <c r="CV10" s="104"/>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6"/>
      <c r="EB10" s="96"/>
      <c r="EC10" s="96"/>
      <c r="ED10" s="96"/>
      <c r="EE10" s="96"/>
      <c r="EF10" s="96"/>
      <c r="EG10" s="96"/>
      <c r="EH10" s="96"/>
      <c r="EI10" s="96"/>
      <c r="EJ10" s="96"/>
      <c r="EK10" s="98"/>
      <c r="EL10" s="24"/>
      <c r="EM10" s="24"/>
      <c r="EN10" s="24"/>
      <c r="EO10" s="24"/>
      <c r="EP10" s="89"/>
      <c r="EQ10" s="89"/>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HB10" s="26"/>
      <c r="HC10" s="29"/>
      <c r="HD10" s="27"/>
      <c r="HE10" s="27"/>
      <c r="HF10" s="27"/>
      <c r="HG10" s="24"/>
      <c r="HH10" s="24"/>
      <c r="HI10" s="26"/>
      <c r="HJ10" s="26"/>
      <c r="HK10" s="26"/>
      <c r="HL10" s="26"/>
      <c r="HM10" s="26"/>
      <c r="HN10" s="26"/>
      <c r="HO10" s="26"/>
      <c r="HP10" s="26"/>
      <c r="HQ10" s="67"/>
      <c r="HR10" s="26"/>
      <c r="HS10" s="26"/>
      <c r="HT10" s="26"/>
      <c r="HU10" s="26"/>
      <c r="HV10" s="26"/>
      <c r="HW10" s="26"/>
      <c r="HX10" s="26"/>
      <c r="HY10" s="26"/>
      <c r="HZ10" s="26"/>
      <c r="IA10" s="26"/>
      <c r="IB10" s="26"/>
      <c r="IC10" s="26"/>
      <c r="ID10" s="26"/>
      <c r="IE10" s="26"/>
      <c r="IF10" s="26"/>
      <c r="IG10" s="26"/>
      <c r="IH10" s="26"/>
      <c r="II10" s="26"/>
      <c r="IJ10" s="26"/>
      <c r="IK10" s="26"/>
      <c r="IR10" s="26"/>
      <c r="IS10" s="26"/>
      <c r="IT10" s="26"/>
      <c r="IU10" s="26"/>
      <c r="IV10" s="26"/>
      <c r="IW10" s="26"/>
      <c r="IX10" s="26"/>
      <c r="IY10" s="26"/>
      <c r="IZ10" s="26"/>
      <c r="JA10" s="26"/>
      <c r="JB10" s="265"/>
      <c r="JC10" s="265"/>
      <c r="JD10" s="265"/>
      <c r="JE10" s="265"/>
      <c r="JF10" s="265"/>
      <c r="JG10" s="265"/>
      <c r="JH10" s="265"/>
      <c r="JI10" s="265"/>
      <c r="JJ10" s="265"/>
      <c r="JK10" s="265"/>
      <c r="JL10" s="30"/>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row>
    <row r="11" spans="2:478" ht="24" customHeight="1" thickBot="1">
      <c r="B11" s="455"/>
      <c r="C11" s="456"/>
      <c r="D11" s="456"/>
      <c r="E11" s="456"/>
      <c r="F11" s="456"/>
      <c r="G11" s="456"/>
      <c r="H11" s="456"/>
      <c r="I11" s="456"/>
      <c r="J11" s="456"/>
      <c r="K11" s="456"/>
      <c r="L11" s="456"/>
      <c r="M11" s="456"/>
      <c r="N11" s="456"/>
      <c r="O11" s="456"/>
      <c r="P11" s="456"/>
      <c r="Q11" s="795"/>
      <c r="R11" s="645"/>
      <c r="S11" s="646"/>
      <c r="T11" s="646"/>
      <c r="U11" s="646"/>
      <c r="V11" s="646"/>
      <c r="W11" s="646"/>
      <c r="X11" s="646"/>
      <c r="Y11" s="646"/>
      <c r="Z11" s="646"/>
      <c r="AA11" s="647" t="str">
        <f>+'Sıvılaşma Potansiyeli Analizi'!$Z$11</f>
        <v>Standart (iç tüpü olan)</v>
      </c>
      <c r="AB11" s="641"/>
      <c r="AC11" s="641"/>
      <c r="AD11" s="641"/>
      <c r="AE11" s="641"/>
      <c r="AF11" s="641"/>
      <c r="AG11" s="641"/>
      <c r="AH11" s="641"/>
      <c r="AI11" s="641"/>
      <c r="AJ11" s="641"/>
      <c r="AK11" s="641"/>
      <c r="AL11" s="641"/>
      <c r="AM11" s="641"/>
      <c r="AN11" s="641"/>
      <c r="AO11" s="640" t="str">
        <f>+'Sıvılaşma Potansiyeli Analizi'!$AM$11</f>
        <v>Çap 65mm-115mm arasında</v>
      </c>
      <c r="AP11" s="641"/>
      <c r="AQ11" s="460"/>
      <c r="AR11" s="460"/>
      <c r="AS11" s="460"/>
      <c r="AT11" s="460"/>
      <c r="AU11" s="460"/>
      <c r="AV11" s="460"/>
      <c r="AW11" s="460"/>
      <c r="AX11" s="460"/>
      <c r="AY11" s="460"/>
      <c r="AZ11" s="460"/>
      <c r="BA11" s="460"/>
      <c r="BB11" s="460"/>
      <c r="BC11" s="460"/>
      <c r="BD11" s="642"/>
      <c r="BE11" s="823" t="str">
        <f>+'Sıvılaşma Potansiyeli Analizi'!$BC$11</f>
        <v>Güvenli tokmak</v>
      </c>
      <c r="BF11" s="824"/>
      <c r="BG11" s="824"/>
      <c r="BH11" s="824"/>
      <c r="BI11" s="824"/>
      <c r="BJ11" s="824"/>
      <c r="BK11" s="824"/>
      <c r="BL11" s="824"/>
      <c r="BM11" s="824"/>
      <c r="BN11" s="824"/>
      <c r="BO11" s="824"/>
      <c r="BP11" s="824"/>
      <c r="BQ11" s="824"/>
      <c r="BR11" s="824"/>
      <c r="BS11" s="824"/>
      <c r="BT11" s="824"/>
      <c r="BU11" s="824"/>
      <c r="BV11" s="824"/>
      <c r="BW11" s="833">
        <f>+'Sıvılaşma Potansiyeli Analizi'!$BT$11</f>
        <v>60</v>
      </c>
      <c r="BX11" s="834"/>
      <c r="BY11" s="834"/>
      <c r="BZ11" s="834"/>
      <c r="CA11" s="834"/>
      <c r="CB11" s="834"/>
      <c r="CC11" s="834"/>
      <c r="CD11" s="834"/>
      <c r="CE11" s="834"/>
      <c r="CF11" s="834"/>
      <c r="CG11" s="834"/>
      <c r="CH11" s="834"/>
      <c r="CI11" s="834"/>
      <c r="CJ11" s="835"/>
      <c r="CK11" s="105"/>
      <c r="CL11" s="105"/>
      <c r="CM11" s="105"/>
      <c r="CN11" s="105"/>
      <c r="CO11" s="105"/>
      <c r="CP11" s="105"/>
      <c r="CQ11" s="105"/>
      <c r="CR11" s="105"/>
      <c r="CS11" s="105"/>
      <c r="CT11" s="105"/>
      <c r="CU11" s="105"/>
      <c r="CV11" s="105"/>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6"/>
      <c r="EB11" s="96"/>
      <c r="EC11" s="96"/>
      <c r="ED11" s="96"/>
      <c r="EE11" s="96"/>
      <c r="EF11" s="96"/>
      <c r="EG11" s="96"/>
      <c r="EH11" s="96"/>
      <c r="EI11" s="96"/>
      <c r="EJ11" s="96"/>
      <c r="EK11" s="98"/>
      <c r="EL11" s="24"/>
      <c r="EM11" s="24"/>
      <c r="EN11" s="24"/>
      <c r="EO11" s="24"/>
      <c r="EP11" s="90"/>
      <c r="EQ11" s="90"/>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R11" s="26"/>
      <c r="IS11" s="26"/>
      <c r="IT11" s="26"/>
      <c r="IU11" s="26"/>
      <c r="IV11" s="26"/>
      <c r="IW11" s="26"/>
      <c r="IX11" s="26"/>
      <c r="IY11" s="26"/>
      <c r="IZ11" s="26"/>
      <c r="JA11" s="26"/>
      <c r="JB11" s="265"/>
      <c r="JC11" s="265"/>
      <c r="JD11" s="265"/>
      <c r="JE11" s="265"/>
      <c r="JF11" s="265"/>
      <c r="JG11" s="265"/>
      <c r="JH11" s="265"/>
      <c r="JI11" s="265"/>
      <c r="JJ11" s="265"/>
      <c r="JK11" s="265"/>
      <c r="JL11" s="30"/>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row>
    <row r="12" spans="2:478" ht="35.1" customHeight="1" thickTop="1" thickBot="1">
      <c r="B12" s="804" t="s">
        <v>271</v>
      </c>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5"/>
      <c r="AG12" s="805"/>
      <c r="AH12" s="805"/>
      <c r="AI12" s="805"/>
      <c r="AJ12" s="805"/>
      <c r="AK12" s="805"/>
      <c r="AL12" s="805"/>
      <c r="AM12" s="805"/>
      <c r="AN12" s="806"/>
      <c r="AO12" s="656" t="s">
        <v>241</v>
      </c>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57"/>
      <c r="BQ12" s="657"/>
      <c r="BR12" s="657"/>
      <c r="BS12" s="657"/>
      <c r="BT12" s="657"/>
      <c r="BU12" s="657"/>
      <c r="BV12" s="657"/>
      <c r="BW12" s="657"/>
      <c r="BX12" s="657"/>
      <c r="BY12" s="657"/>
      <c r="BZ12" s="657"/>
      <c r="CA12" s="657"/>
      <c r="CB12" s="657"/>
      <c r="CC12" s="657"/>
      <c r="CD12" s="657"/>
      <c r="CE12" s="657"/>
      <c r="CF12" s="657"/>
      <c r="CG12" s="657"/>
      <c r="CH12" s="657"/>
      <c r="CI12" s="657"/>
      <c r="CJ12" s="658"/>
      <c r="CK12" s="577" t="s">
        <v>282</v>
      </c>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45" t="s">
        <v>248</v>
      </c>
      <c r="DP12" s="546"/>
      <c r="DQ12" s="546"/>
      <c r="DR12" s="546"/>
      <c r="DS12" s="546"/>
      <c r="DT12" s="546"/>
      <c r="DU12" s="546"/>
      <c r="DV12" s="546"/>
      <c r="DW12" s="546"/>
      <c r="DX12" s="546"/>
      <c r="DY12" s="546"/>
      <c r="DZ12" s="546"/>
      <c r="EA12" s="546"/>
      <c r="EB12" s="546"/>
      <c r="EC12" s="546"/>
      <c r="ED12" s="546"/>
      <c r="EE12" s="546"/>
      <c r="EF12" s="546"/>
      <c r="EG12" s="546"/>
      <c r="EH12" s="546"/>
      <c r="EI12" s="547"/>
      <c r="EL12" s="92"/>
      <c r="EM12" s="92"/>
      <c r="EN12" s="92"/>
      <c r="EO12" s="92"/>
      <c r="EP12" s="92"/>
      <c r="EQ12" s="92"/>
      <c r="ER12" s="92"/>
      <c r="ES12" s="92"/>
      <c r="ET12" s="92"/>
      <c r="EU12" s="92"/>
      <c r="EV12" s="92"/>
      <c r="EW12" s="92"/>
      <c r="EX12" s="32"/>
      <c r="EY12" s="32"/>
      <c r="EZ12" s="32"/>
      <c r="FA12" s="32"/>
      <c r="FB12" s="32"/>
      <c r="FC12" s="32"/>
      <c r="FD12" s="32"/>
      <c r="FE12" s="32"/>
      <c r="FF12" s="32"/>
      <c r="FG12" s="32"/>
      <c r="FH12" s="32"/>
      <c r="FI12" s="32"/>
      <c r="FJ12" s="32"/>
      <c r="FK12" s="32"/>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IM12" s="24"/>
      <c r="IN12" s="24"/>
      <c r="IO12" s="24"/>
      <c r="IP12" s="24"/>
      <c r="IQ12" s="24"/>
      <c r="IR12" s="24"/>
      <c r="IS12" s="24"/>
      <c r="IT12" s="24"/>
      <c r="IU12" s="24"/>
      <c r="IV12" s="24"/>
      <c r="IW12" s="24"/>
      <c r="IX12" s="24"/>
      <c r="IY12" s="24"/>
      <c r="IZ12" s="24"/>
      <c r="JA12" s="24"/>
      <c r="JB12" s="24"/>
      <c r="JC12" s="27"/>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row>
    <row r="13" spans="2:478" ht="51" customHeight="1" thickTop="1" thickBot="1">
      <c r="B13" s="807"/>
      <c r="C13" s="808"/>
      <c r="D13" s="808"/>
      <c r="E13" s="808"/>
      <c r="F13" s="808"/>
      <c r="G13" s="808"/>
      <c r="H13" s="808"/>
      <c r="I13" s="808"/>
      <c r="J13" s="808"/>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9"/>
      <c r="AO13" s="268" t="s">
        <v>250</v>
      </c>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70"/>
      <c r="BW13" s="268" t="s">
        <v>245</v>
      </c>
      <c r="BX13" s="269"/>
      <c r="BY13" s="269"/>
      <c r="BZ13" s="269"/>
      <c r="CA13" s="269"/>
      <c r="CB13" s="269"/>
      <c r="CC13" s="269"/>
      <c r="CD13" s="269"/>
      <c r="CE13" s="269"/>
      <c r="CF13" s="269"/>
      <c r="CG13" s="269"/>
      <c r="CH13" s="269"/>
      <c r="CI13" s="269"/>
      <c r="CJ13" s="270"/>
      <c r="CK13" s="268" t="s">
        <v>269</v>
      </c>
      <c r="CL13" s="269"/>
      <c r="CM13" s="269"/>
      <c r="CN13" s="269"/>
      <c r="CO13" s="269"/>
      <c r="CP13" s="269"/>
      <c r="CQ13" s="269"/>
      <c r="CR13" s="269"/>
      <c r="CS13" s="269"/>
      <c r="CT13" s="269"/>
      <c r="CU13" s="269"/>
      <c r="CV13" s="269"/>
      <c r="CW13" s="269"/>
      <c r="CX13" s="270"/>
      <c r="CY13" s="529" t="s">
        <v>247</v>
      </c>
      <c r="CZ13" s="530"/>
      <c r="DA13" s="530"/>
      <c r="DB13" s="530"/>
      <c r="DC13" s="530"/>
      <c r="DD13" s="530"/>
      <c r="DE13" s="530"/>
      <c r="DF13" s="530"/>
      <c r="DG13" s="530"/>
      <c r="DH13" s="531"/>
      <c r="DI13" s="529" t="s">
        <v>244</v>
      </c>
      <c r="DJ13" s="530"/>
      <c r="DK13" s="530"/>
      <c r="DL13" s="530"/>
      <c r="DM13" s="530"/>
      <c r="DN13" s="531"/>
      <c r="DO13" s="529" t="s">
        <v>312</v>
      </c>
      <c r="DP13" s="530"/>
      <c r="DQ13" s="530"/>
      <c r="DR13" s="530"/>
      <c r="DS13" s="530"/>
      <c r="DT13" s="530"/>
      <c r="DU13" s="530"/>
      <c r="DV13" s="530"/>
      <c r="DW13" s="530"/>
      <c r="DX13" s="530"/>
      <c r="DY13" s="530"/>
      <c r="DZ13" s="530"/>
      <c r="EA13" s="530"/>
      <c r="EB13" s="530"/>
      <c r="EC13" s="531"/>
      <c r="ED13" s="529" t="s">
        <v>327</v>
      </c>
      <c r="EE13" s="530"/>
      <c r="EF13" s="530"/>
      <c r="EG13" s="530"/>
      <c r="EH13" s="530"/>
      <c r="EI13" s="531"/>
      <c r="EO13" s="87"/>
      <c r="EP13" s="87"/>
      <c r="EQ13" s="87"/>
      <c r="ER13" s="87"/>
      <c r="ES13" s="87"/>
      <c r="ET13" s="87"/>
      <c r="EU13" s="87"/>
      <c r="EV13" s="87"/>
      <c r="EW13" s="87"/>
      <c r="FA13" s="24"/>
      <c r="FB13" s="24"/>
      <c r="FC13" s="24"/>
      <c r="FD13" s="24"/>
      <c r="FE13" s="24"/>
      <c r="FF13" s="24"/>
      <c r="FG13" s="24"/>
      <c r="FH13" s="24"/>
      <c r="FI13" s="32"/>
      <c r="FJ13" s="32"/>
      <c r="FK13" s="32"/>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row>
    <row r="14" spans="2:478" ht="60" customHeight="1" thickTop="1">
      <c r="B14" s="693" t="s">
        <v>155</v>
      </c>
      <c r="C14" s="694"/>
      <c r="D14" s="695"/>
      <c r="E14" s="699" t="s">
        <v>0</v>
      </c>
      <c r="F14" s="699"/>
      <c r="G14" s="699"/>
      <c r="H14" s="699"/>
      <c r="I14" s="694" t="s">
        <v>233</v>
      </c>
      <c r="J14" s="694"/>
      <c r="K14" s="695"/>
      <c r="L14" s="701" t="s">
        <v>33</v>
      </c>
      <c r="M14" s="702"/>
      <c r="N14" s="702"/>
      <c r="O14" s="702"/>
      <c r="P14" s="703"/>
      <c r="Q14" s="707" t="s">
        <v>234</v>
      </c>
      <c r="R14" s="708"/>
      <c r="S14" s="708"/>
      <c r="T14" s="708"/>
      <c r="U14" s="709"/>
      <c r="V14" s="665" t="s">
        <v>246</v>
      </c>
      <c r="W14" s="666"/>
      <c r="X14" s="666"/>
      <c r="Y14" s="667"/>
      <c r="Z14" s="215" t="s">
        <v>309</v>
      </c>
      <c r="AA14" s="688"/>
      <c r="AB14" s="688"/>
      <c r="AC14" s="688"/>
      <c r="AD14" s="688"/>
      <c r="AE14" s="688"/>
      <c r="AF14" s="688"/>
      <c r="AG14" s="688"/>
      <c r="AH14" s="688"/>
      <c r="AI14" s="688"/>
      <c r="AJ14" s="688"/>
      <c r="AK14" s="688"/>
      <c r="AL14" s="688"/>
      <c r="AM14" s="688"/>
      <c r="AN14" s="689"/>
      <c r="AO14" s="608" t="s">
        <v>279</v>
      </c>
      <c r="AP14" s="618"/>
      <c r="AQ14" s="289"/>
      <c r="AR14" s="289"/>
      <c r="AS14" s="289"/>
      <c r="AT14" s="289" t="s">
        <v>281</v>
      </c>
      <c r="AU14" s="289"/>
      <c r="AV14" s="289"/>
      <c r="AW14" s="289"/>
      <c r="AX14" s="289"/>
      <c r="AY14" s="289" t="s">
        <v>280</v>
      </c>
      <c r="AZ14" s="289"/>
      <c r="BA14" s="289"/>
      <c r="BB14" s="289"/>
      <c r="BC14" s="289"/>
      <c r="BD14" s="674" t="s">
        <v>264</v>
      </c>
      <c r="BE14" s="674"/>
      <c r="BF14" s="674"/>
      <c r="BG14" s="674"/>
      <c r="BH14" s="674"/>
      <c r="BI14" s="609" t="s">
        <v>242</v>
      </c>
      <c r="BJ14" s="676"/>
      <c r="BK14" s="676"/>
      <c r="BL14" s="676"/>
      <c r="BM14" s="618"/>
      <c r="BN14" s="816" t="s">
        <v>265</v>
      </c>
      <c r="BO14" s="816"/>
      <c r="BP14" s="816"/>
      <c r="BQ14" s="816"/>
      <c r="BR14" s="816"/>
      <c r="BS14" s="609" t="s">
        <v>243</v>
      </c>
      <c r="BT14" s="676"/>
      <c r="BU14" s="676"/>
      <c r="BV14" s="818"/>
      <c r="BW14" s="608" t="s">
        <v>313</v>
      </c>
      <c r="BX14" s="289"/>
      <c r="BY14" s="289"/>
      <c r="BZ14" s="289"/>
      <c r="CA14" s="609"/>
      <c r="CB14" s="659" t="s">
        <v>283</v>
      </c>
      <c r="CC14" s="659"/>
      <c r="CD14" s="660"/>
      <c r="CE14" s="660"/>
      <c r="CF14" s="660"/>
      <c r="CG14" s="728" t="s">
        <v>323</v>
      </c>
      <c r="CH14" s="728"/>
      <c r="CI14" s="729"/>
      <c r="CJ14" s="730"/>
      <c r="CK14" s="554" t="s">
        <v>314</v>
      </c>
      <c r="CL14" s="532"/>
      <c r="CM14" s="532"/>
      <c r="CN14" s="620" t="s">
        <v>321</v>
      </c>
      <c r="CO14" s="621"/>
      <c r="CP14" s="621"/>
      <c r="CQ14" s="537" t="s">
        <v>315</v>
      </c>
      <c r="CR14" s="532"/>
      <c r="CS14" s="532"/>
      <c r="CT14" s="538"/>
      <c r="CU14" s="537" t="s">
        <v>316</v>
      </c>
      <c r="CV14" s="532"/>
      <c r="CW14" s="532"/>
      <c r="CX14" s="538"/>
      <c r="CY14" s="734" t="s">
        <v>317</v>
      </c>
      <c r="CZ14" s="732"/>
      <c r="DA14" s="732"/>
      <c r="DB14" s="735"/>
      <c r="DC14" s="735" t="s">
        <v>324</v>
      </c>
      <c r="DD14" s="744"/>
      <c r="DE14" s="744"/>
      <c r="DF14" s="744"/>
      <c r="DG14" s="744"/>
      <c r="DH14" s="744"/>
      <c r="DI14" s="742" t="s">
        <v>324</v>
      </c>
      <c r="DJ14" s="729"/>
      <c r="DK14" s="729"/>
      <c r="DL14" s="729"/>
      <c r="DM14" s="729"/>
      <c r="DN14" s="730"/>
      <c r="DO14" s="554" t="s">
        <v>318</v>
      </c>
      <c r="DP14" s="532"/>
      <c r="DQ14" s="532"/>
      <c r="DR14" s="532"/>
      <c r="DS14" s="532"/>
      <c r="DT14" s="532"/>
      <c r="DU14" s="532"/>
      <c r="DV14" s="532"/>
      <c r="DW14" s="532"/>
      <c r="DX14" s="537" t="s">
        <v>319</v>
      </c>
      <c r="DY14" s="532"/>
      <c r="DZ14" s="532"/>
      <c r="EA14" s="532"/>
      <c r="EB14" s="532"/>
      <c r="EC14" s="538"/>
      <c r="ED14" s="532" t="s">
        <v>320</v>
      </c>
      <c r="EE14" s="532"/>
      <c r="EF14" s="532"/>
      <c r="EG14" s="532"/>
      <c r="EH14" s="532"/>
      <c r="EI14" s="533"/>
      <c r="EO14" s="85"/>
      <c r="EP14" s="85"/>
      <c r="EQ14" s="85"/>
      <c r="ER14" s="85"/>
      <c r="ES14" s="58"/>
      <c r="ET14" s="58"/>
      <c r="EU14" s="58"/>
      <c r="EV14" s="58"/>
      <c r="EW14" s="58"/>
      <c r="FA14" s="24"/>
      <c r="FB14" s="69"/>
      <c r="FG14" s="70"/>
      <c r="FN14" s="71"/>
      <c r="FO14" s="71"/>
      <c r="FP14" s="71"/>
      <c r="FQ14" s="72"/>
      <c r="FR14" s="71"/>
      <c r="FS14" s="71"/>
      <c r="FT14" s="71"/>
      <c r="FU14" s="71"/>
      <c r="FV14" s="71"/>
      <c r="FW14" s="73"/>
      <c r="FX14" s="73"/>
      <c r="FY14" s="73"/>
      <c r="FZ14" s="73"/>
      <c r="GA14" s="69"/>
      <c r="GB14" s="69"/>
      <c r="GC14" s="69"/>
      <c r="GD14" s="69"/>
      <c r="GE14" s="69"/>
      <c r="GF14" s="69"/>
      <c r="GG14" s="69"/>
      <c r="GH14" s="69"/>
      <c r="GI14" s="69"/>
      <c r="GJ14" s="69"/>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W14" s="24"/>
      <c r="HX14" s="24"/>
      <c r="HY14" s="24"/>
      <c r="HZ14" s="24"/>
      <c r="IA14" s="24"/>
      <c r="IB14" s="24"/>
      <c r="IM14" s="24"/>
      <c r="IN14" s="24"/>
      <c r="IO14" s="24"/>
      <c r="IP14" s="24"/>
      <c r="IQ14" s="24"/>
      <c r="IR14" s="24"/>
      <c r="IS14" s="24"/>
      <c r="IT14" s="24"/>
      <c r="IU14" s="24"/>
      <c r="IV14" s="24"/>
    </row>
    <row r="15" spans="2:478" ht="30" customHeight="1">
      <c r="B15" s="696"/>
      <c r="C15" s="697"/>
      <c r="D15" s="698"/>
      <c r="E15" s="700"/>
      <c r="F15" s="700"/>
      <c r="G15" s="700"/>
      <c r="H15" s="700"/>
      <c r="I15" s="697"/>
      <c r="J15" s="697"/>
      <c r="K15" s="698"/>
      <c r="L15" s="704"/>
      <c r="M15" s="705"/>
      <c r="N15" s="705"/>
      <c r="O15" s="705"/>
      <c r="P15" s="706"/>
      <c r="Q15" s="710"/>
      <c r="R15" s="711"/>
      <c r="S15" s="711"/>
      <c r="T15" s="711"/>
      <c r="U15" s="712"/>
      <c r="V15" s="668"/>
      <c r="W15" s="669"/>
      <c r="X15" s="669"/>
      <c r="Y15" s="670"/>
      <c r="Z15" s="690"/>
      <c r="AA15" s="691"/>
      <c r="AB15" s="691"/>
      <c r="AC15" s="691"/>
      <c r="AD15" s="691"/>
      <c r="AE15" s="691"/>
      <c r="AF15" s="691"/>
      <c r="AG15" s="691"/>
      <c r="AH15" s="691"/>
      <c r="AI15" s="691"/>
      <c r="AJ15" s="691"/>
      <c r="AK15" s="691"/>
      <c r="AL15" s="691"/>
      <c r="AM15" s="691"/>
      <c r="AN15" s="692"/>
      <c r="AO15" s="610"/>
      <c r="AP15" s="619"/>
      <c r="AQ15" s="290"/>
      <c r="AR15" s="290"/>
      <c r="AS15" s="290"/>
      <c r="AT15" s="290"/>
      <c r="AU15" s="290"/>
      <c r="AV15" s="290"/>
      <c r="AW15" s="290"/>
      <c r="AX15" s="290"/>
      <c r="AY15" s="290"/>
      <c r="AZ15" s="290"/>
      <c r="BA15" s="290"/>
      <c r="BB15" s="290"/>
      <c r="BC15" s="290"/>
      <c r="BD15" s="675"/>
      <c r="BE15" s="675"/>
      <c r="BF15" s="675"/>
      <c r="BG15" s="675"/>
      <c r="BH15" s="675"/>
      <c r="BI15" s="611"/>
      <c r="BJ15" s="259"/>
      <c r="BK15" s="259"/>
      <c r="BL15" s="259"/>
      <c r="BM15" s="619"/>
      <c r="BN15" s="817"/>
      <c r="BO15" s="817"/>
      <c r="BP15" s="817"/>
      <c r="BQ15" s="817"/>
      <c r="BR15" s="817"/>
      <c r="BS15" s="611"/>
      <c r="BT15" s="259"/>
      <c r="BU15" s="259"/>
      <c r="BV15" s="819"/>
      <c r="BW15" s="610"/>
      <c r="BX15" s="290"/>
      <c r="BY15" s="290"/>
      <c r="BZ15" s="290"/>
      <c r="CA15" s="611"/>
      <c r="CB15" s="661"/>
      <c r="CC15" s="661"/>
      <c r="CD15" s="662"/>
      <c r="CE15" s="662"/>
      <c r="CF15" s="662"/>
      <c r="CG15" s="731"/>
      <c r="CH15" s="731"/>
      <c r="CI15" s="732"/>
      <c r="CJ15" s="733"/>
      <c r="CK15" s="555"/>
      <c r="CL15" s="534"/>
      <c r="CM15" s="534"/>
      <c r="CN15" s="622"/>
      <c r="CO15" s="623"/>
      <c r="CP15" s="623"/>
      <c r="CQ15" s="539"/>
      <c r="CR15" s="534"/>
      <c r="CS15" s="534"/>
      <c r="CT15" s="540"/>
      <c r="CU15" s="539"/>
      <c r="CV15" s="534"/>
      <c r="CW15" s="534"/>
      <c r="CX15" s="540"/>
      <c r="CY15" s="734"/>
      <c r="CZ15" s="732"/>
      <c r="DA15" s="732"/>
      <c r="DB15" s="735"/>
      <c r="DC15" s="735"/>
      <c r="DD15" s="744"/>
      <c r="DE15" s="744"/>
      <c r="DF15" s="744"/>
      <c r="DG15" s="744"/>
      <c r="DH15" s="744"/>
      <c r="DI15" s="734"/>
      <c r="DJ15" s="732"/>
      <c r="DK15" s="732"/>
      <c r="DL15" s="732"/>
      <c r="DM15" s="732"/>
      <c r="DN15" s="733"/>
      <c r="DO15" s="555"/>
      <c r="DP15" s="534"/>
      <c r="DQ15" s="534"/>
      <c r="DR15" s="534"/>
      <c r="DS15" s="534"/>
      <c r="DT15" s="534"/>
      <c r="DU15" s="534"/>
      <c r="DV15" s="534"/>
      <c r="DW15" s="534"/>
      <c r="DX15" s="539"/>
      <c r="DY15" s="534"/>
      <c r="DZ15" s="534"/>
      <c r="EA15" s="534"/>
      <c r="EB15" s="534"/>
      <c r="EC15" s="540"/>
      <c r="ED15" s="534"/>
      <c r="EE15" s="534"/>
      <c r="EF15" s="534"/>
      <c r="EG15" s="534"/>
      <c r="EH15" s="534"/>
      <c r="EI15" s="535"/>
      <c r="EO15" s="85"/>
      <c r="EP15" s="85"/>
      <c r="EQ15" s="85"/>
      <c r="ER15" s="85"/>
      <c r="ES15" s="58"/>
      <c r="ET15" s="58"/>
      <c r="EU15" s="58"/>
      <c r="EV15" s="58"/>
      <c r="EW15" s="58"/>
      <c r="FA15" s="24"/>
      <c r="FB15" s="69"/>
      <c r="FG15" s="70"/>
      <c r="FN15" s="71"/>
      <c r="FO15" s="71"/>
      <c r="FP15" s="71"/>
      <c r="FQ15" s="72"/>
      <c r="FR15" s="71"/>
      <c r="FS15" s="71"/>
      <c r="FT15" s="71"/>
      <c r="FU15" s="71"/>
      <c r="FV15" s="71"/>
      <c r="FW15" s="73"/>
      <c r="FX15" s="73"/>
      <c r="FY15" s="73"/>
      <c r="FZ15" s="73"/>
      <c r="GA15" s="69"/>
      <c r="GB15" s="69"/>
      <c r="GC15" s="69"/>
      <c r="GD15" s="69"/>
      <c r="GE15" s="69"/>
      <c r="GF15" s="69"/>
      <c r="GG15" s="69"/>
      <c r="GH15" s="69"/>
      <c r="GI15" s="69"/>
      <c r="GJ15" s="69"/>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W15" s="24"/>
      <c r="HX15" s="24"/>
      <c r="HY15" s="24"/>
      <c r="HZ15" s="24"/>
      <c r="IA15" s="24"/>
      <c r="IB15" s="24"/>
      <c r="IM15" s="24"/>
      <c r="IN15" s="24"/>
      <c r="IO15" s="24"/>
      <c r="IP15" s="24"/>
      <c r="IQ15" s="24"/>
      <c r="IR15" s="24"/>
      <c r="IS15" s="24"/>
      <c r="IT15" s="24"/>
      <c r="IU15" s="24"/>
      <c r="IV15" s="24"/>
    </row>
    <row r="16" spans="2:478" ht="43.9" customHeight="1">
      <c r="B16" s="696"/>
      <c r="C16" s="697"/>
      <c r="D16" s="698"/>
      <c r="E16" s="700"/>
      <c r="F16" s="700"/>
      <c r="G16" s="700"/>
      <c r="H16" s="700"/>
      <c r="I16" s="697"/>
      <c r="J16" s="697"/>
      <c r="K16" s="698"/>
      <c r="L16" s="704"/>
      <c r="M16" s="705"/>
      <c r="N16" s="705"/>
      <c r="O16" s="705"/>
      <c r="P16" s="706"/>
      <c r="Q16" s="710"/>
      <c r="R16" s="711"/>
      <c r="S16" s="711"/>
      <c r="T16" s="711"/>
      <c r="U16" s="712"/>
      <c r="V16" s="671" t="s">
        <v>294</v>
      </c>
      <c r="W16" s="672"/>
      <c r="X16" s="672"/>
      <c r="Y16" s="673"/>
      <c r="Z16" s="690"/>
      <c r="AA16" s="691"/>
      <c r="AB16" s="691"/>
      <c r="AC16" s="691"/>
      <c r="AD16" s="691"/>
      <c r="AE16" s="691"/>
      <c r="AF16" s="691"/>
      <c r="AG16" s="691"/>
      <c r="AH16" s="691"/>
      <c r="AI16" s="691"/>
      <c r="AJ16" s="691"/>
      <c r="AK16" s="691"/>
      <c r="AL16" s="691"/>
      <c r="AM16" s="691"/>
      <c r="AN16" s="692"/>
      <c r="AO16" s="610"/>
      <c r="AP16" s="619"/>
      <c r="AQ16" s="290"/>
      <c r="AR16" s="290"/>
      <c r="AS16" s="290"/>
      <c r="AT16" s="290"/>
      <c r="AU16" s="290"/>
      <c r="AV16" s="290"/>
      <c r="AW16" s="290"/>
      <c r="AX16" s="290"/>
      <c r="AY16" s="290"/>
      <c r="AZ16" s="290"/>
      <c r="BA16" s="290"/>
      <c r="BB16" s="290"/>
      <c r="BC16" s="290"/>
      <c r="BD16" s="675"/>
      <c r="BE16" s="675"/>
      <c r="BF16" s="675"/>
      <c r="BG16" s="675"/>
      <c r="BH16" s="675"/>
      <c r="BI16" s="611"/>
      <c r="BJ16" s="259"/>
      <c r="BK16" s="259"/>
      <c r="BL16" s="259"/>
      <c r="BM16" s="619"/>
      <c r="BN16" s="817"/>
      <c r="BO16" s="817"/>
      <c r="BP16" s="817"/>
      <c r="BQ16" s="817"/>
      <c r="BR16" s="817"/>
      <c r="BS16" s="611"/>
      <c r="BT16" s="259"/>
      <c r="BU16" s="259"/>
      <c r="BV16" s="819"/>
      <c r="BW16" s="610"/>
      <c r="BX16" s="290"/>
      <c r="BY16" s="290"/>
      <c r="BZ16" s="290"/>
      <c r="CA16" s="611"/>
      <c r="CB16" s="662"/>
      <c r="CC16" s="662"/>
      <c r="CD16" s="662"/>
      <c r="CE16" s="662"/>
      <c r="CF16" s="662"/>
      <c r="CG16" s="731"/>
      <c r="CH16" s="731"/>
      <c r="CI16" s="732"/>
      <c r="CJ16" s="733"/>
      <c r="CK16" s="555"/>
      <c r="CL16" s="534"/>
      <c r="CM16" s="534"/>
      <c r="CN16" s="622"/>
      <c r="CO16" s="623"/>
      <c r="CP16" s="623"/>
      <c r="CQ16" s="539"/>
      <c r="CR16" s="534"/>
      <c r="CS16" s="534"/>
      <c r="CT16" s="540"/>
      <c r="CU16" s="539"/>
      <c r="CV16" s="534"/>
      <c r="CW16" s="534"/>
      <c r="CX16" s="540"/>
      <c r="CY16" s="734"/>
      <c r="CZ16" s="732"/>
      <c r="DA16" s="732"/>
      <c r="DB16" s="735"/>
      <c r="DC16" s="735"/>
      <c r="DD16" s="744"/>
      <c r="DE16" s="744"/>
      <c r="DF16" s="744"/>
      <c r="DG16" s="744"/>
      <c r="DH16" s="744"/>
      <c r="DI16" s="734"/>
      <c r="DJ16" s="732"/>
      <c r="DK16" s="732"/>
      <c r="DL16" s="732"/>
      <c r="DM16" s="732"/>
      <c r="DN16" s="733"/>
      <c r="DO16" s="555"/>
      <c r="DP16" s="534"/>
      <c r="DQ16" s="534"/>
      <c r="DR16" s="534"/>
      <c r="DS16" s="534"/>
      <c r="DT16" s="534"/>
      <c r="DU16" s="534"/>
      <c r="DV16" s="534"/>
      <c r="DW16" s="534"/>
      <c r="DX16" s="539"/>
      <c r="DY16" s="534"/>
      <c r="DZ16" s="534"/>
      <c r="EA16" s="534"/>
      <c r="EB16" s="534"/>
      <c r="EC16" s="540"/>
      <c r="ED16" s="534"/>
      <c r="EE16" s="534"/>
      <c r="EF16" s="534"/>
      <c r="EG16" s="534"/>
      <c r="EH16" s="534"/>
      <c r="EI16" s="535"/>
      <c r="EO16" s="85"/>
      <c r="EP16" s="85"/>
      <c r="EQ16" s="85"/>
      <c r="ER16" s="85"/>
      <c r="ES16" s="58"/>
      <c r="ET16" s="58"/>
      <c r="EU16" s="58"/>
      <c r="EV16" s="58"/>
      <c r="EW16" s="58"/>
      <c r="FA16" s="24"/>
      <c r="FB16" s="69"/>
      <c r="FG16" s="70"/>
      <c r="FN16" s="71"/>
      <c r="FO16" s="71"/>
      <c r="FP16" s="71"/>
      <c r="FQ16" s="71"/>
      <c r="FR16" s="71"/>
      <c r="FS16" s="71"/>
      <c r="FT16" s="71"/>
      <c r="FU16" s="71"/>
      <c r="FV16" s="71"/>
      <c r="FW16" s="73"/>
      <c r="FX16" s="73"/>
      <c r="FY16" s="73"/>
      <c r="FZ16" s="73"/>
      <c r="GA16" s="69"/>
      <c r="GB16" s="69"/>
      <c r="GC16" s="69"/>
      <c r="GD16" s="69"/>
      <c r="GE16" s="69"/>
      <c r="GF16" s="69"/>
      <c r="GG16" s="69"/>
      <c r="GH16" s="69"/>
      <c r="GI16" s="69"/>
      <c r="GJ16" s="69"/>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W16" s="24"/>
      <c r="HX16" s="24"/>
      <c r="HY16" s="24"/>
      <c r="HZ16" s="24"/>
      <c r="IA16" s="24"/>
      <c r="IB16" s="24"/>
      <c r="IM16" s="24"/>
      <c r="IN16" s="24"/>
      <c r="IO16" s="24"/>
      <c r="IP16" s="24"/>
      <c r="IQ16" s="24"/>
      <c r="IR16" s="24"/>
      <c r="IS16" s="24"/>
      <c r="IT16" s="24"/>
      <c r="IU16" s="24"/>
      <c r="IV16" s="24"/>
    </row>
    <row r="17" spans="2:256" ht="15.75" customHeight="1" thickBot="1">
      <c r="B17" s="677" t="s">
        <v>114</v>
      </c>
      <c r="C17" s="678"/>
      <c r="D17" s="679"/>
      <c r="E17" s="680" t="s">
        <v>115</v>
      </c>
      <c r="F17" s="681"/>
      <c r="G17" s="681"/>
      <c r="H17" s="682"/>
      <c r="I17" s="683" t="s">
        <v>116</v>
      </c>
      <c r="J17" s="684"/>
      <c r="K17" s="685"/>
      <c r="L17" s="680" t="s">
        <v>117</v>
      </c>
      <c r="M17" s="686"/>
      <c r="N17" s="686"/>
      <c r="O17" s="686"/>
      <c r="P17" s="686"/>
      <c r="Q17" s="680" t="s">
        <v>118</v>
      </c>
      <c r="R17" s="686"/>
      <c r="S17" s="686"/>
      <c r="T17" s="686"/>
      <c r="U17" s="687"/>
      <c r="V17" s="302" t="s">
        <v>119</v>
      </c>
      <c r="W17" s="303"/>
      <c r="X17" s="303"/>
      <c r="Y17" s="304"/>
      <c r="Z17" s="255" t="s">
        <v>120</v>
      </c>
      <c r="AA17" s="256"/>
      <c r="AB17" s="256"/>
      <c r="AC17" s="256"/>
      <c r="AD17" s="256"/>
      <c r="AE17" s="256"/>
      <c r="AF17" s="256"/>
      <c r="AG17" s="256"/>
      <c r="AH17" s="256"/>
      <c r="AI17" s="256"/>
      <c r="AJ17" s="256"/>
      <c r="AK17" s="256"/>
      <c r="AL17" s="256"/>
      <c r="AM17" s="256"/>
      <c r="AN17" s="257"/>
      <c r="AO17" s="612" t="s">
        <v>121</v>
      </c>
      <c r="AP17" s="251"/>
      <c r="AQ17" s="613"/>
      <c r="AR17" s="613"/>
      <c r="AS17" s="613"/>
      <c r="AT17" s="737" t="s">
        <v>122</v>
      </c>
      <c r="AU17" s="737"/>
      <c r="AV17" s="613"/>
      <c r="AW17" s="613"/>
      <c r="AX17" s="613"/>
      <c r="AY17" s="737" t="s">
        <v>123</v>
      </c>
      <c r="AZ17" s="737"/>
      <c r="BA17" s="613"/>
      <c r="BB17" s="613"/>
      <c r="BC17" s="613"/>
      <c r="BD17" s="308" t="s">
        <v>124</v>
      </c>
      <c r="BE17" s="308"/>
      <c r="BF17" s="309"/>
      <c r="BG17" s="309"/>
      <c r="BH17" s="309"/>
      <c r="BI17" s="737" t="s">
        <v>125</v>
      </c>
      <c r="BJ17" s="613"/>
      <c r="BK17" s="613"/>
      <c r="BL17" s="613"/>
      <c r="BM17" s="613"/>
      <c r="BN17" s="820" t="s">
        <v>126</v>
      </c>
      <c r="BO17" s="821"/>
      <c r="BP17" s="821"/>
      <c r="BQ17" s="821"/>
      <c r="BR17" s="821"/>
      <c r="BS17" s="737" t="s">
        <v>127</v>
      </c>
      <c r="BT17" s="613"/>
      <c r="BU17" s="613"/>
      <c r="BV17" s="822"/>
      <c r="BW17" s="612" t="s">
        <v>128</v>
      </c>
      <c r="BX17" s="613"/>
      <c r="BY17" s="613"/>
      <c r="BZ17" s="613"/>
      <c r="CA17" s="614"/>
      <c r="CB17" s="737" t="s">
        <v>129</v>
      </c>
      <c r="CC17" s="737"/>
      <c r="CD17" s="613"/>
      <c r="CE17" s="613"/>
      <c r="CF17" s="613"/>
      <c r="CG17" s="251" t="s">
        <v>130</v>
      </c>
      <c r="CH17" s="251"/>
      <c r="CI17" s="613"/>
      <c r="CJ17" s="736"/>
      <c r="CK17" s="255" t="s">
        <v>131</v>
      </c>
      <c r="CL17" s="233"/>
      <c r="CM17" s="233"/>
      <c r="CN17" s="232" t="s">
        <v>132</v>
      </c>
      <c r="CO17" s="233"/>
      <c r="CP17" s="233"/>
      <c r="CQ17" s="232" t="s">
        <v>133</v>
      </c>
      <c r="CR17" s="233"/>
      <c r="CS17" s="233"/>
      <c r="CT17" s="251"/>
      <c r="CU17" s="232" t="s">
        <v>134</v>
      </c>
      <c r="CV17" s="233"/>
      <c r="CW17" s="233"/>
      <c r="CX17" s="251"/>
      <c r="CY17" s="374" t="s">
        <v>135</v>
      </c>
      <c r="CZ17" s="284"/>
      <c r="DA17" s="284"/>
      <c r="DB17" s="284"/>
      <c r="DC17" s="232" t="s">
        <v>136</v>
      </c>
      <c r="DD17" s="233"/>
      <c r="DE17" s="233"/>
      <c r="DF17" s="233"/>
      <c r="DG17" s="233"/>
      <c r="DH17" s="536"/>
      <c r="DI17" s="612" t="s">
        <v>137</v>
      </c>
      <c r="DJ17" s="737"/>
      <c r="DK17" s="737"/>
      <c r="DL17" s="737"/>
      <c r="DM17" s="737"/>
      <c r="DN17" s="743"/>
      <c r="DO17" s="255" t="s">
        <v>138</v>
      </c>
      <c r="DP17" s="233"/>
      <c r="DQ17" s="233"/>
      <c r="DR17" s="233"/>
      <c r="DS17" s="233"/>
      <c r="DT17" s="233"/>
      <c r="DU17" s="233"/>
      <c r="DV17" s="233"/>
      <c r="DW17" s="233"/>
      <c r="DX17" s="232" t="s">
        <v>220</v>
      </c>
      <c r="DY17" s="233"/>
      <c r="DZ17" s="233"/>
      <c r="EA17" s="233"/>
      <c r="EB17" s="233"/>
      <c r="EC17" s="251"/>
      <c r="ED17" s="233" t="s">
        <v>221</v>
      </c>
      <c r="EE17" s="233"/>
      <c r="EF17" s="233"/>
      <c r="EG17" s="233"/>
      <c r="EH17" s="233"/>
      <c r="EI17" s="536"/>
      <c r="EO17" s="74"/>
      <c r="EP17" s="74"/>
      <c r="EQ17" s="74"/>
      <c r="ER17" s="74"/>
      <c r="ES17" s="59"/>
      <c r="ET17" s="59"/>
      <c r="EU17" s="59"/>
      <c r="EV17" s="59"/>
      <c r="EW17" s="59"/>
      <c r="FA17" s="24"/>
      <c r="FB17" s="74"/>
      <c r="FG17" s="46"/>
      <c r="FN17" s="75"/>
      <c r="FO17" s="76"/>
      <c r="FP17" s="76"/>
      <c r="FQ17" s="75"/>
      <c r="FR17" s="76"/>
      <c r="FS17" s="76"/>
      <c r="FT17" s="75"/>
      <c r="FU17" s="76"/>
      <c r="FV17" s="76"/>
      <c r="FW17" s="75"/>
      <c r="FX17" s="76"/>
      <c r="FY17" s="76"/>
      <c r="FZ17" s="76"/>
      <c r="GA17" s="77"/>
      <c r="GB17" s="78"/>
      <c r="GC17" s="78"/>
      <c r="GD17" s="78"/>
      <c r="GE17" s="77"/>
      <c r="GF17" s="78"/>
      <c r="GG17" s="78"/>
      <c r="GH17" s="78"/>
      <c r="GI17" s="78"/>
      <c r="GJ17" s="78"/>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W17" s="24"/>
      <c r="HX17" s="24"/>
      <c r="HY17" s="24"/>
      <c r="HZ17" s="210"/>
      <c r="IA17" s="210"/>
      <c r="IB17" s="210"/>
      <c r="IM17" s="24"/>
      <c r="IN17" s="24"/>
      <c r="IO17" s="24"/>
      <c r="IP17" s="24"/>
      <c r="IQ17" s="24"/>
      <c r="IR17" s="24"/>
      <c r="IS17" s="24"/>
      <c r="IT17" s="24"/>
      <c r="IU17" s="24"/>
      <c r="IV17" s="24"/>
    </row>
    <row r="18" spans="2:256" ht="24.95" customHeight="1" thickTop="1">
      <c r="B18" s="648" t="str">
        <f>+IF('Sıvılaşma Potansiyeli Analizi'!B17="","",'Sıvılaşma Potansiyeli Analizi'!B17)</f>
        <v>1 -</v>
      </c>
      <c r="C18" s="649"/>
      <c r="D18" s="649"/>
      <c r="E18" s="650">
        <f>+IF('Sıvılaşma Potansiyeli Analizi'!E17="","",'Sıvılaşma Potansiyeli Analizi'!E17)</f>
        <v>1.1000000000000001</v>
      </c>
      <c r="F18" s="651"/>
      <c r="G18" s="651"/>
      <c r="H18" s="652"/>
      <c r="I18" s="653">
        <f>+IF('Sıvılaşma Potansiyeli Analizi'!I17="","",'Sıvılaşma Potansiyeli Analizi'!I17)</f>
        <v>8</v>
      </c>
      <c r="J18" s="653"/>
      <c r="K18" s="653"/>
      <c r="L18" s="654" t="str">
        <f>+IF('Sıvılaşma Potansiyeli Analizi'!L17="","",'Sıvılaşma Potansiyeli Analizi'!L17)</f>
        <v>SM</v>
      </c>
      <c r="M18" s="655"/>
      <c r="N18" s="655"/>
      <c r="O18" s="655"/>
      <c r="P18" s="655"/>
      <c r="Q18" s="650" t="str">
        <f>+IF('Sıvılaşma Potansiyeli Analizi'!Q17="","",'Sıvılaşma Potansiyeli Analizi'!Q17)</f>
        <v>-</v>
      </c>
      <c r="R18" s="651"/>
      <c r="S18" s="651"/>
      <c r="T18" s="651"/>
      <c r="U18" s="652"/>
      <c r="V18" s="663">
        <f>+IF('Sıvılaşma Potansiyeli Analizi'!AQ17="","",'Sıvılaşma Potansiyeli Analizi'!AQ17)</f>
        <v>20.900000000000002</v>
      </c>
      <c r="W18" s="663"/>
      <c r="X18" s="663"/>
      <c r="Y18" s="663"/>
      <c r="Z18" s="297" t="str">
        <f>+IF('Sıvılaşma Potansiyeli Analizi'!CN17="","",'Sıvılaşma Potansiyeli Analizi'!CN17)</f>
        <v>-</v>
      </c>
      <c r="AA18" s="196"/>
      <c r="AB18" s="196"/>
      <c r="AC18" s="236"/>
      <c r="AD18" s="213" t="str">
        <f>+IF('Sıvılaşma Potansiyeli Analizi'!CR17="","",'Sıvılaşma Potansiyeli Analizi'!CR17)</f>
        <v>-</v>
      </c>
      <c r="AE18" s="213"/>
      <c r="AF18" s="213"/>
      <c r="AG18" s="213"/>
      <c r="AH18" s="213"/>
      <c r="AI18" s="213"/>
      <c r="AJ18" s="213"/>
      <c r="AK18" s="213"/>
      <c r="AL18" s="213"/>
      <c r="AM18" s="213"/>
      <c r="AN18" s="214"/>
      <c r="AO18" s="615" t="str">
        <f>IF(E18="","",IF(Z18="-","-",IF('Sıvılaşma Potansiyeli Analizi'!BJ17&gt;30,0,MAX(0,MIN(0.5,1.859*(1.1-SQRT('Sıvılaşma Potansiyeli Analizi'!BN17/46))^3)))))</f>
        <v>-</v>
      </c>
      <c r="AP18" s="631"/>
      <c r="AQ18" s="616"/>
      <c r="AR18" s="616"/>
      <c r="AS18" s="616"/>
      <c r="AT18" s="616" t="str">
        <f>IF(E18="","", IF(Z18="-","-",IF('Sıvılaşma Potansiyeli Analizi'!BN17&gt;30,0,0.032+0.69*SQRT(MAX(7,'Sıvılaşma Potansiyeli Analizi'!BN17))-0.13*MAX(7,'Sıvılaşma Potansiyeli Analizi'!BN17))))</f>
        <v>-</v>
      </c>
      <c r="AU18" s="616"/>
      <c r="AV18" s="616"/>
      <c r="AW18" s="616"/>
      <c r="AX18" s="616"/>
      <c r="AY18" s="616" t="str">
        <f>IF(E18="","",IF(Z18="-","-",IF(Z18&gt;2,0,IF(Z18&lt;AT18,AO18, MIN(AO18,0.035*(1-AT18)*(2-Z18)/(Z18-AT18))))))</f>
        <v>-</v>
      </c>
      <c r="AZ18" s="616"/>
      <c r="BA18" s="616"/>
      <c r="BB18" s="616"/>
      <c r="BC18" s="616"/>
      <c r="BD18" s="173" t="str">
        <f>IF('Sıvılaşma Potansiyeli Analizi'!E17="","",IF('Sıvılaşma Potansiyeli Analizi'!CN17="-","-",IF('Sıvılaşma Potansiyeli Analizi'!CN17&gt;1.1,0,IF('Sıvılaşma Potansiyeli Analizi'!$BC$8&lt;'Sıvılaşma Potansiyeli Analizi'!E17,('Sıvılaşma Potansiyeli Analizi'!E17-'Sıvılaşma Potansiyeli Analizi'!$BC$8)+(('Sıvılaşma Potansiyeli Analizi'!E18-'Sıvılaşma Potansiyeli Analizi'!E17)/2),IF('Sıvılaşma Potansiyeli Analizi'!$BC$8&gt;='Sıvılaşma Potansiyeli Analizi'!E18,0,0)))))</f>
        <v>-</v>
      </c>
      <c r="BE18" s="171"/>
      <c r="BF18" s="171"/>
      <c r="BG18" s="171"/>
      <c r="BH18" s="174"/>
      <c r="BI18" s="617" t="str">
        <f>IF(E18="","",IF(Z18="-","-",IF(Z18&lt;2,AY18*BD18)))</f>
        <v>-</v>
      </c>
      <c r="BJ18" s="630"/>
      <c r="BK18" s="630"/>
      <c r="BL18" s="630"/>
      <c r="BM18" s="631"/>
      <c r="BN18" s="617" t="str">
        <f>IF(E18="","",IF(Z18="-","-",IF(Z18&gt;2,0,IF('Sıvılaşma Potansiyeli Analizi'!BN17&gt;30,0,1.5*EXP(-0.369*SQRT('Sıvılaşma Potansiyeli Analizi'!BN17))*MIN(0.08,AY18)))))</f>
        <v>-</v>
      </c>
      <c r="BO18" s="630"/>
      <c r="BP18" s="630"/>
      <c r="BQ18" s="630"/>
      <c r="BR18" s="631"/>
      <c r="BS18" s="296" t="str">
        <f>IF(E18="","",IF(Z18="-","-",IF(Z19&gt;2,0,PRODUCT(BN18*BD18))))</f>
        <v>-</v>
      </c>
      <c r="BT18" s="296"/>
      <c r="BU18" s="296"/>
      <c r="BV18" s="632"/>
      <c r="BW18" s="615" t="str">
        <f>IF(E18="","",IF(Z18="-","-",(0.65*$CE$9*0.4*('Sıvılaşma Potansiyeli Analizi'!AM17/'Sıvılaşma Potansiyeli Analizi'!AQ17)*'Sıvılaşma Potansiyeli Analizi'!CF17)/(2.5-0.2*$AW$9)))</f>
        <v>-</v>
      </c>
      <c r="BX18" s="616"/>
      <c r="BY18" s="616"/>
      <c r="BZ18" s="616"/>
      <c r="CA18" s="617"/>
      <c r="CB18" s="616" t="str">
        <f>IF(E18="","",IF(Z18="-","-",IF((BW18/'Sıvılaşma Potansiyeli Analizi'!BJ17)&gt;0.01,('Sıvılaşma Potansiyeli Analizi'!BJ17^(-0.6)*10*0.01),"-")))</f>
        <v>-</v>
      </c>
      <c r="CC18" s="616"/>
      <c r="CD18" s="616"/>
      <c r="CE18" s="616"/>
      <c r="CF18" s="616"/>
      <c r="CG18" s="236" t="str">
        <f>IF(E18="","",IF(CB18="-","-",PRODUCT(BD18,CB18)))</f>
        <v>-</v>
      </c>
      <c r="CH18" s="236"/>
      <c r="CI18" s="213"/>
      <c r="CJ18" s="214"/>
      <c r="CK18" s="626" t="str">
        <f>IF(E18="","",IF(Z18="-","-",IF('Sıvılaşma Potansiyeli Analizi'!AI17&lt;10,1,IF('Sıvılaşma Potansiyeli Analizi'!AI17&lt;25,2,IF('Sıvılaşma Potansiyeli Analizi'!AI17&lt;50,4,5)))))</f>
        <v>-</v>
      </c>
      <c r="CL18" s="627"/>
      <c r="CM18" s="627"/>
      <c r="CN18" s="624" t="str">
        <f t="shared" ref="CN18:CN32" si="0">IF(E18="","",IF(Z18="-","-",DEGREES(ATAN((I18/(12.2+(20.3*V18/100)))^0.34))))</f>
        <v>-</v>
      </c>
      <c r="CO18" s="625"/>
      <c r="CP18" s="625"/>
      <c r="CQ18" s="628" t="str">
        <f>IF(E18="","",IF(Z18&gt;=1.1,"-",IF(((EXP(('Sıvılaşma Potansiyeli Analizi'!BJ17+CK18)/16+(('Sıvılaşma Potansiyeli Analizi'!BJ17+CK18-16)/21.2)^3-3))*(1+EXP(('Sıvılaşma Potansiyeli Analizi'!BJ17+CK18)/2.4-6.6)))&lt;=TAN(RADIANS(CN18)),((EXP(('Sıvılaşma Potansiyeli Analizi'!BJ17+CK18)/16+(('Sıvılaşma Potansiyeli Analizi'!BJ17+CK18-16)/21.2)^3-3))*(1+EXP(('Sıvılaşma Potansiyeli Analizi'!BJ17+CK18)/2.4-6.6))),TAN(RADIANS(CN18)))))</f>
        <v>-</v>
      </c>
      <c r="CR18" s="629"/>
      <c r="CS18" s="629"/>
      <c r="CT18" s="629"/>
      <c r="CU18" s="628" t="str">
        <f>IF(E18="","",IF(Z18&gt;=1.1,"-",IF(((EXP(('Sıvılaşma Potansiyeli Analizi'!BJ17+CK18)/16+(('Sıvılaşma Potansiyeli Analizi'!BJ17+CK18-16)/21.2)^3-3)))&lt;=TAN(RADIANS(CN18)),((EXP(('Sıvılaşma Potansiyeli Analizi'!BJ17+CK18)/16+(('Sıvılaşma Potansiyeli Analizi'!BJ17+CK18-16)/21.2)^3-3))),TAN(RADIANS(CN18)))))</f>
        <v>-</v>
      </c>
      <c r="CV18" s="629"/>
      <c r="CW18" s="629"/>
      <c r="CX18" s="629"/>
      <c r="CY18" s="740" t="str">
        <f t="shared" ref="CY18:CY32" si="1">IF(E18="","",IF(Z18="-","-",(V18*9.87*0.001)))</f>
        <v>-</v>
      </c>
      <c r="CZ18" s="741"/>
      <c r="DA18" s="741"/>
      <c r="DB18" s="741"/>
      <c r="DC18" s="582" t="str">
        <f>IF(E18="","",IF(Z18&gt;=1.1,"-",EXP(-8.444+0.109*'Sıvılaşma Potansiyeli Analizi'!BJ17+5.379*(CY18^0.1))*101.33))</f>
        <v>-</v>
      </c>
      <c r="DD18" s="583"/>
      <c r="DE18" s="583"/>
      <c r="DF18" s="583"/>
      <c r="DG18" s="583"/>
      <c r="DH18" s="583"/>
      <c r="DI18" s="626" t="str">
        <f>IF(E18="","",IF(Z18&gt;=1.1,"-",(EXP((0.1292*'Sıvılaşma Potansiyeli Analizi'!BN17)+(4.322*(V18*0.01)^0.12)))*0.04788))</f>
        <v>-</v>
      </c>
      <c r="DJ18" s="627"/>
      <c r="DK18" s="627"/>
      <c r="DL18" s="627"/>
      <c r="DM18" s="627"/>
      <c r="DN18" s="739"/>
      <c r="DO18" s="170" t="str">
        <f>IF(Z18="-","-",IF(Z18&lt;=1,BD18,"-"))</f>
        <v>-</v>
      </c>
      <c r="DP18" s="171"/>
      <c r="DQ18" s="171"/>
      <c r="DR18" s="171"/>
      <c r="DS18" s="171"/>
      <c r="DT18" s="171"/>
      <c r="DU18" s="171"/>
      <c r="DV18" s="171"/>
      <c r="DW18" s="174"/>
      <c r="DX18" s="541">
        <v>5</v>
      </c>
      <c r="DY18" s="542"/>
      <c r="DZ18" s="542"/>
      <c r="EA18" s="542"/>
      <c r="EB18" s="542"/>
      <c r="EC18" s="542"/>
      <c r="ED18" s="548">
        <f>+IF('Sıvılaşma Potansiyeli Analizi'!EA33="","",'Sıvılaşma Potansiyeli Analizi'!EA33)</f>
        <v>39.414824144399212</v>
      </c>
      <c r="EE18" s="549"/>
      <c r="EF18" s="549"/>
      <c r="EG18" s="549"/>
      <c r="EH18" s="549"/>
      <c r="EI18" s="550"/>
      <c r="EL18" s="49"/>
      <c r="EQ18" s="49"/>
      <c r="ER18" s="49"/>
      <c r="ES18" s="49"/>
      <c r="ET18" s="49"/>
      <c r="EU18" s="49"/>
      <c r="EV18" s="49"/>
      <c r="EW18" s="49"/>
      <c r="FA18" s="24"/>
      <c r="FB18" s="49"/>
      <c r="FG18" s="79"/>
      <c r="FN18" s="80"/>
      <c r="FO18" s="80"/>
      <c r="FP18" s="80"/>
      <c r="FQ18" s="80"/>
      <c r="FR18" s="80"/>
      <c r="FS18" s="80"/>
      <c r="FT18" s="80"/>
      <c r="FU18" s="80"/>
      <c r="FV18" s="80"/>
      <c r="FW18" s="80"/>
      <c r="FX18" s="80"/>
      <c r="FY18" s="80"/>
      <c r="FZ18" s="80"/>
      <c r="GA18" s="81"/>
      <c r="GB18" s="81"/>
      <c r="GC18" s="81"/>
      <c r="GD18" s="81"/>
      <c r="GE18" s="81"/>
      <c r="GF18" s="81"/>
      <c r="GG18" s="81"/>
      <c r="GH18" s="81"/>
      <c r="GI18" s="81"/>
      <c r="GJ18" s="81"/>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W18" s="24"/>
      <c r="HX18" s="24"/>
      <c r="HY18" s="24"/>
      <c r="HZ18" s="24"/>
      <c r="IA18" s="24"/>
      <c r="IB18" s="24"/>
      <c r="IM18" s="24"/>
      <c r="IN18" s="24"/>
      <c r="IO18" s="24"/>
      <c r="IP18" s="24"/>
      <c r="IQ18" s="24"/>
      <c r="IR18" s="24"/>
      <c r="IS18" s="24"/>
      <c r="IT18" s="24"/>
      <c r="IU18" s="24"/>
      <c r="IV18" s="24"/>
    </row>
    <row r="19" spans="2:256" ht="24.95" customHeight="1">
      <c r="B19" s="593" t="str">
        <f>+IF('Sıvılaşma Potansiyeli Analizi'!B18="","",'Sıvılaşma Potansiyeli Analizi'!B18)</f>
        <v>2 -</v>
      </c>
      <c r="C19" s="594"/>
      <c r="D19" s="594"/>
      <c r="E19" s="595">
        <f>+IF('Sıvılaşma Potansiyeli Analizi'!E18="","",'Sıvılaşma Potansiyeli Analizi'!E18)</f>
        <v>1.8</v>
      </c>
      <c r="F19" s="596"/>
      <c r="G19" s="596"/>
      <c r="H19" s="597"/>
      <c r="I19" s="598">
        <f>+IF('Sıvılaşma Potansiyeli Analizi'!I18="","",'Sıvılaşma Potansiyeli Analizi'!I18)</f>
        <v>12</v>
      </c>
      <c r="J19" s="598"/>
      <c r="K19" s="598"/>
      <c r="L19" s="599" t="str">
        <f>+IF('Sıvılaşma Potansiyeli Analizi'!L18="","",'Sıvılaşma Potansiyeli Analizi'!L18)</f>
        <v>SM</v>
      </c>
      <c r="M19" s="600"/>
      <c r="N19" s="600"/>
      <c r="O19" s="600"/>
      <c r="P19" s="600"/>
      <c r="Q19" s="595" t="str">
        <f>+IF('Sıvılaşma Potansiyeli Analizi'!Q18="","",'Sıvılaşma Potansiyeli Analizi'!Q18)</f>
        <v>-</v>
      </c>
      <c r="R19" s="596"/>
      <c r="S19" s="596"/>
      <c r="T19" s="596"/>
      <c r="U19" s="597"/>
      <c r="V19" s="601">
        <f>+IF('Sıvılaşma Potansiyeli Analizi'!AQ18="","",'Sıvılaşma Potansiyeli Analizi'!AQ18)</f>
        <v>34.200000000000003</v>
      </c>
      <c r="W19" s="601"/>
      <c r="X19" s="601"/>
      <c r="Y19" s="601"/>
      <c r="Z19" s="178" t="str">
        <f>+IF('Sıvılaşma Potansiyeli Analizi'!CN18="","",'Sıvılaşma Potansiyeli Analizi'!CN18)</f>
        <v>-</v>
      </c>
      <c r="AA19" s="157"/>
      <c r="AB19" s="157"/>
      <c r="AC19" s="158"/>
      <c r="AD19" s="182" t="str">
        <f>+IF('Sıvılaşma Potansiyeli Analizi'!CR18="","",'Sıvılaşma Potansiyeli Analizi'!CR18)</f>
        <v>-</v>
      </c>
      <c r="AE19" s="182"/>
      <c r="AF19" s="182"/>
      <c r="AG19" s="182"/>
      <c r="AH19" s="182"/>
      <c r="AI19" s="182"/>
      <c r="AJ19" s="182"/>
      <c r="AK19" s="182"/>
      <c r="AL19" s="182"/>
      <c r="AM19" s="182"/>
      <c r="AN19" s="183"/>
      <c r="AO19" s="193" t="str">
        <f>IF(E19="","",IF(Z19="-","-",IF('Sıvılaşma Potansiyeli Analizi'!BJ18&gt;30,0,MAX(0,MIN(0.5,1.859*(1.1-SQRT('Sıvılaşma Potansiyeli Analizi'!BN18/46))^3)))))</f>
        <v>-</v>
      </c>
      <c r="AP19" s="592"/>
      <c r="AQ19" s="194"/>
      <c r="AR19" s="194"/>
      <c r="AS19" s="194"/>
      <c r="AT19" s="194" t="str">
        <f>IF(E19="","", IF(Z19="-","-",IF('Sıvılaşma Potansiyeli Analizi'!BN18&gt;30,0,0.032+0.69*SQRT(MAX(7,'Sıvılaşma Potansiyeli Analizi'!BN18))-0.13*MAX(7,'Sıvılaşma Potansiyeli Analizi'!BN18))))</f>
        <v>-</v>
      </c>
      <c r="AU19" s="194"/>
      <c r="AV19" s="194"/>
      <c r="AW19" s="194"/>
      <c r="AX19" s="194"/>
      <c r="AY19" s="194" t="str">
        <f>IF(E19="","",IF(Z19="-","-",IF(Z19&gt;2,0,IF(Z19&lt;AT19,AO19,MIN(AO19,0.035*(1-AT19)*(2-Z19)/(Z19-AT19))))))</f>
        <v>-</v>
      </c>
      <c r="AZ19" s="194"/>
      <c r="BA19" s="194"/>
      <c r="BB19" s="194"/>
      <c r="BC19" s="194"/>
      <c r="BD19" s="162" t="str">
        <f>IF('Sıvılaşma Potansiyeli Analizi'!E18="","",IF('Sıvılaşma Potansiyeli Analizi'!CN18="-","-",IF('Sıvılaşma Potansiyeli Analizi'!CN18&gt;1.1,0,IF('Sıvılaşma Potansiyeli Analizi'!E19="",('Sıvılaşma Potansiyeli Analizi'!$E$33-'Sıvılaşma Potansiyeli Analizi'!E18)+(('Sıvılaşma Potansiyeli Analizi'!E18-'Sıvılaşma Potansiyeli Analizi'!E17)/2),IF(AND(BD18=0,'Sıvılaşma Potansiyeli Analizi'!$BC$8&lt;'Sıvılaşma Potansiyeli Analizi'!E18,'Sıvılaşma Potansiyeli Analizi'!$BC$8&gt;='Sıvılaşma Potansiyeli Analizi'!E17),(('Sıvılaşma Potansiyeli Analizi'!E19-'Sıvılaşma Potansiyeli Analizi'!E18)/2)+('Sıvılaşma Potansiyeli Analizi'!E18-'Sıvılaşma Potansiyeli Analizi'!$BC$8),(('Sıvılaşma Potansiyeli Analizi'!E19-'Sıvılaşma Potansiyeli Analizi'!E18)/2)+(('Sıvılaşma Potansiyeli Analizi'!E18-'Sıvılaşma Potansiyeli Analizi'!E17)/2))))))</f>
        <v>-</v>
      </c>
      <c r="BE19" s="157"/>
      <c r="BF19" s="157"/>
      <c r="BG19" s="157"/>
      <c r="BH19" s="158"/>
      <c r="BI19" s="604" t="str">
        <f>IF(E19="","",IF(Z19="-","-",IF(Z19&lt;2,PRODUCT(AY19,BD19),0)))</f>
        <v>-</v>
      </c>
      <c r="BJ19" s="664"/>
      <c r="BK19" s="664"/>
      <c r="BL19" s="664"/>
      <c r="BM19" s="592"/>
      <c r="BN19" s="604" t="str">
        <f>IF(E19="","",IF(Z19="-","-",IF(Z19&gt;2,0,IF('Sıvılaşma Potansiyeli Analizi'!BN18&gt;30,0,1.5*EXP(-0.369*SQRT('Sıvılaşma Potansiyeli Analizi'!BN18))*MIN(0.08,AY19)))))</f>
        <v>-</v>
      </c>
      <c r="BO19" s="664"/>
      <c r="BP19" s="664"/>
      <c r="BQ19" s="664"/>
      <c r="BR19" s="592"/>
      <c r="BS19" s="194" t="str">
        <f>IF(E19="","",IF(Z19="-","-",IF(Z19&gt;2,0,PRODUCT(BN19,BD19))))</f>
        <v>-</v>
      </c>
      <c r="BT19" s="194"/>
      <c r="BU19" s="194"/>
      <c r="BV19" s="591"/>
      <c r="BW19" s="193" t="str">
        <f>IF(E19="","",IF(Z19="-","-",(0.65*$CE$9*0.4*('Sıvılaşma Potansiyeli Analizi'!AM18/'Sıvılaşma Potansiyeli Analizi'!AQ18)*'Sıvılaşma Potansiyeli Analizi'!CF18)/(2.5-0.2*$AW$9)))</f>
        <v>-</v>
      </c>
      <c r="BX19" s="194"/>
      <c r="BY19" s="194"/>
      <c r="BZ19" s="194"/>
      <c r="CA19" s="604"/>
      <c r="CB19" s="194" t="str">
        <f>IF(E19="","",IF(Z19="-","-",IF((BW19/'Sıvılaşma Potansiyeli Analizi'!BJ18)&gt;0.01,('Sıvılaşma Potansiyeli Analizi'!BJ18^(-0.6)*10*0.01),"-")))</f>
        <v>-</v>
      </c>
      <c r="CC19" s="194"/>
      <c r="CD19" s="194"/>
      <c r="CE19" s="194"/>
      <c r="CF19" s="194"/>
      <c r="CG19" s="182" t="str">
        <f>IF(E19="","",IF(BD19="-","-",PRODUCT(BD19,CB19)))</f>
        <v>-</v>
      </c>
      <c r="CH19" s="158"/>
      <c r="CI19" s="182"/>
      <c r="CJ19" s="183"/>
      <c r="CK19" s="602" t="str">
        <f>IF(E19="","",IF(Z19="-","-",IF('Sıvılaşma Potansiyeli Analizi'!AI18&lt;10,1,IF('Sıvılaşma Potansiyeli Analizi'!AI18&lt;25,2,IF('Sıvılaşma Potansiyeli Analizi'!AI18&lt;50,4,5)))))</f>
        <v>-</v>
      </c>
      <c r="CL19" s="566"/>
      <c r="CM19" s="566"/>
      <c r="CN19" s="590" t="str">
        <f t="shared" si="0"/>
        <v>-</v>
      </c>
      <c r="CO19" s="589"/>
      <c r="CP19" s="589"/>
      <c r="CQ19" s="584" t="str">
        <f>IF(E19="","",IF(Z19&gt;=1.1,"-",IF(((EXP(('Sıvılaşma Potansiyeli Analizi'!BJ18+CK19)/16+(('Sıvılaşma Potansiyeli Analizi'!BJ18+CK19-16)/21.2)^3-3))*(1+EXP(('Sıvılaşma Potansiyeli Analizi'!BJ18+CK19)/2.4-6.6)))&lt;=TAN(RADIANS(CN19)),((EXP(('Sıvılaşma Potansiyeli Analizi'!BJ18+CK19)/16+(('Sıvılaşma Potansiyeli Analizi'!BJ18+CK19-16)/21.2)^3-3))*(1+EXP(('Sıvılaşma Potansiyeli Analizi'!BJ18+CK19)/2.4-6.6))),TAN(RADIANS(CN19)))))</f>
        <v>-</v>
      </c>
      <c r="CR19" s="585"/>
      <c r="CS19" s="585"/>
      <c r="CT19" s="585"/>
      <c r="CU19" s="584" t="str">
        <f>IF(E19="","",IF(Z19&gt;=1.1,"-",IF(((EXP(('Sıvılaşma Potansiyeli Analizi'!BJ18+CK19)/16+(('Sıvılaşma Potansiyeli Analizi'!BJ18+CK19-16)/21.2)^3-3)))&lt;=TAN(RADIANS(CN19)),((EXP(('Sıvılaşma Potansiyeli Analizi'!BJ18+CK19)/16+(('Sıvılaşma Potansiyeli Analizi'!BJ18+CK19-16)/21.2)^3-3))),TAN(RADIANS(CN19)))))</f>
        <v>-</v>
      </c>
      <c r="CV19" s="585"/>
      <c r="CW19" s="585"/>
      <c r="CX19" s="585"/>
      <c r="CY19" s="586" t="str">
        <f t="shared" si="1"/>
        <v>-</v>
      </c>
      <c r="CZ19" s="587"/>
      <c r="DA19" s="587"/>
      <c r="DB19" s="587"/>
      <c r="DC19" s="565" t="str">
        <f>IF(E19="","",IF(Z19&gt;=1.1,"-",EXP(-8.444+0.109*'Sıvılaşma Potansiyeli Analizi'!BJ18+5.379*(CY19^0.1))*101.33))</f>
        <v>-</v>
      </c>
      <c r="DD19" s="566"/>
      <c r="DE19" s="566"/>
      <c r="DF19" s="566"/>
      <c r="DG19" s="566"/>
      <c r="DH19" s="566"/>
      <c r="DI19" s="602" t="str">
        <f>IF(E19="","",IF(Z19&gt;=1.1,"-",(EXP((0.1292*'Sıvılaşma Potansiyeli Analizi'!BN18)+(4.322*(V19*0.01)^0.12)))*0.04788))</f>
        <v>-</v>
      </c>
      <c r="DJ19" s="566"/>
      <c r="DK19" s="566"/>
      <c r="DL19" s="566"/>
      <c r="DM19" s="566"/>
      <c r="DN19" s="567"/>
      <c r="DO19" s="178" t="str">
        <f>IF(Z19="-","-",IF(Z19&lt;=1,BD19,"-"))</f>
        <v>-</v>
      </c>
      <c r="DP19" s="157"/>
      <c r="DQ19" s="157"/>
      <c r="DR19" s="157"/>
      <c r="DS19" s="157"/>
      <c r="DT19" s="157"/>
      <c r="DU19" s="157"/>
      <c r="DV19" s="157"/>
      <c r="DW19" s="158"/>
      <c r="DX19" s="543"/>
      <c r="DY19" s="544"/>
      <c r="DZ19" s="544"/>
      <c r="EA19" s="544"/>
      <c r="EB19" s="544"/>
      <c r="EC19" s="544"/>
      <c r="ED19" s="551"/>
      <c r="EE19" s="552"/>
      <c r="EF19" s="552"/>
      <c r="EG19" s="552"/>
      <c r="EH19" s="552"/>
      <c r="EI19" s="553"/>
      <c r="EL19" s="49"/>
      <c r="EQ19" s="49"/>
      <c r="ER19" s="49"/>
      <c r="ES19" s="49"/>
      <c r="ET19" s="49"/>
      <c r="EU19" s="49"/>
      <c r="EV19" s="49"/>
      <c r="EW19" s="49"/>
      <c r="FA19" s="24"/>
      <c r="FB19" s="49"/>
      <c r="FG19" s="79"/>
      <c r="FN19" s="80"/>
      <c r="FO19" s="80"/>
      <c r="FP19" s="80"/>
      <c r="FQ19" s="80"/>
      <c r="FR19" s="80"/>
      <c r="FS19" s="80"/>
      <c r="FT19" s="80"/>
      <c r="FU19" s="80"/>
      <c r="FV19" s="80"/>
      <c r="FW19" s="80"/>
      <c r="FX19" s="80"/>
      <c r="FY19" s="80"/>
      <c r="FZ19" s="80"/>
      <c r="GA19" s="81"/>
      <c r="GB19" s="81"/>
      <c r="GC19" s="81"/>
      <c r="GD19" s="81"/>
      <c r="GE19" s="81"/>
      <c r="GF19" s="81"/>
      <c r="GG19" s="81"/>
      <c r="GH19" s="81"/>
      <c r="GI19" s="81"/>
      <c r="GJ19" s="81"/>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W19" s="24"/>
      <c r="HX19" s="24"/>
      <c r="HY19" s="24"/>
      <c r="HZ19" s="738"/>
      <c r="IA19" s="738"/>
      <c r="IB19" s="738"/>
      <c r="IM19" s="24"/>
      <c r="IN19" s="24"/>
      <c r="IO19" s="24"/>
      <c r="IP19" s="24"/>
      <c r="IQ19" s="24"/>
      <c r="IR19" s="24"/>
      <c r="IS19" s="24"/>
      <c r="IT19" s="24"/>
      <c r="IU19" s="24"/>
      <c r="IV19" s="24"/>
    </row>
    <row r="20" spans="2:256" ht="24.95" customHeight="1">
      <c r="B20" s="593" t="str">
        <f>+IF('Sıvılaşma Potansiyeli Analizi'!B19="","",'Sıvılaşma Potansiyeli Analizi'!B19)</f>
        <v>3 -</v>
      </c>
      <c r="C20" s="594"/>
      <c r="D20" s="594"/>
      <c r="E20" s="595">
        <f>+IF('Sıvılaşma Potansiyeli Analizi'!E19="","",'Sıvılaşma Potansiyeli Analizi'!E19)</f>
        <v>2.6</v>
      </c>
      <c r="F20" s="596"/>
      <c r="G20" s="596"/>
      <c r="H20" s="597"/>
      <c r="I20" s="598">
        <f>+IF('Sıvılaşma Potansiyeli Analizi'!I19="","",'Sıvılaşma Potansiyeli Analizi'!I19)</f>
        <v>7</v>
      </c>
      <c r="J20" s="598"/>
      <c r="K20" s="598"/>
      <c r="L20" s="599" t="str">
        <f>+IF('Sıvılaşma Potansiyeli Analizi'!L19="","",'Sıvılaşma Potansiyeli Analizi'!L19)</f>
        <v>SM</v>
      </c>
      <c r="M20" s="600"/>
      <c r="N20" s="600"/>
      <c r="O20" s="600"/>
      <c r="P20" s="600"/>
      <c r="Q20" s="595" t="str">
        <f>+IF('Sıvılaşma Potansiyeli Analizi'!Q19="","",'Sıvılaşma Potansiyeli Analizi'!Q19)</f>
        <v>-</v>
      </c>
      <c r="R20" s="596"/>
      <c r="S20" s="596"/>
      <c r="T20" s="596"/>
      <c r="U20" s="597"/>
      <c r="V20" s="601">
        <f>+IF('Sıvılaşma Potansiyeli Analizi'!AQ19="","",'Sıvılaşma Potansiyeli Analizi'!AQ19)</f>
        <v>44.113999999999997</v>
      </c>
      <c r="W20" s="601"/>
      <c r="X20" s="601"/>
      <c r="Y20" s="601"/>
      <c r="Z20" s="178">
        <f>+IF('Sıvılaşma Potansiyeli Analizi'!CN19="","",'Sıvılaşma Potansiyeli Analizi'!CN19)</f>
        <v>0.74</v>
      </c>
      <c r="AA20" s="157"/>
      <c r="AB20" s="157"/>
      <c r="AC20" s="158"/>
      <c r="AD20" s="182" t="str">
        <f>+IF('Sıvılaşma Potansiyeli Analizi'!CR19="","",'Sıvılaşma Potansiyeli Analizi'!CR19)</f>
        <v>Sıvılaşma Beklenir</v>
      </c>
      <c r="AE20" s="182"/>
      <c r="AF20" s="182"/>
      <c r="AG20" s="182"/>
      <c r="AH20" s="182"/>
      <c r="AI20" s="182"/>
      <c r="AJ20" s="182"/>
      <c r="AK20" s="182"/>
      <c r="AL20" s="182"/>
      <c r="AM20" s="182"/>
      <c r="AN20" s="183"/>
      <c r="AO20" s="193">
        <f>IF(E20="","",IF(Z20="-","-",IF('Sıvılaşma Potansiyeli Analizi'!BJ19&gt;30,0,MAX(0,MIN(0.5,1.859*(1.1-SQRT('Sıvılaşma Potansiyeli Analizi'!BN19/46))^3)))))</f>
        <v>0.5</v>
      </c>
      <c r="AP20" s="592"/>
      <c r="AQ20" s="194"/>
      <c r="AR20" s="194"/>
      <c r="AS20" s="194"/>
      <c r="AT20" s="194">
        <f>IF(E20="","", IF(Z20="-","-",IF('Sıvılaşma Potansiyeli Analizi'!BN19&gt;30,0,0.032+0.69*SQRT(MAX(7,'Sıvılaşma Potansiyeli Analizi'!BN19))-0.13*MAX(7,'Sıvılaşma Potansiyeli Analizi'!BN19))))</f>
        <v>0.93539629124163026</v>
      </c>
      <c r="AU20" s="194"/>
      <c r="AV20" s="194"/>
      <c r="AW20" s="194"/>
      <c r="AX20" s="194"/>
      <c r="AY20" s="194">
        <f t="shared" ref="AY20:AY32" si="2">IF(E20="","",IF(Z20="-","-",IF(Z20&gt;2,0,IF(Z20&lt;AT20,AO20,MIN(AO20,0.035*(1-AT20)*(2-Z20)/(Z20-AT20))))))</f>
        <v>0.5</v>
      </c>
      <c r="AZ20" s="194"/>
      <c r="BA20" s="194"/>
      <c r="BB20" s="194"/>
      <c r="BC20" s="194"/>
      <c r="BD20" s="162">
        <f>IF('Sıvılaşma Potansiyeli Analizi'!E19="","",IF('Sıvılaşma Potansiyeli Analizi'!CN19="-","-",IF('Sıvılaşma Potansiyeli Analizi'!CN19&gt;1.1,0,IF('Sıvılaşma Potansiyeli Analizi'!E20="",('Sıvılaşma Potansiyeli Analizi'!$E$33-'Sıvılaşma Potansiyeli Analizi'!E19)+(('Sıvılaşma Potansiyeli Analizi'!E19-'Sıvılaşma Potansiyeli Analizi'!E18)/2),IF(AND(BD19=0,'Sıvılaşma Potansiyeli Analizi'!$BC$8&lt;'Sıvılaşma Potansiyeli Analizi'!E19,'Sıvılaşma Potansiyeli Analizi'!$BC$8&gt;='Sıvılaşma Potansiyeli Analizi'!E18),(('Sıvılaşma Potansiyeli Analizi'!E20-'Sıvılaşma Potansiyeli Analizi'!E19)/2)+('Sıvılaşma Potansiyeli Analizi'!E19-'Sıvılaşma Potansiyeli Analizi'!$BC$8),(('Sıvılaşma Potansiyeli Analizi'!E20-'Sıvılaşma Potansiyeli Analizi'!E19)/2)+(('Sıvılaşma Potansiyeli Analizi'!E19-'Sıvılaşma Potansiyeli Analizi'!E18)/2))))))</f>
        <v>0.79999999999999993</v>
      </c>
      <c r="BE20" s="157"/>
      <c r="BF20" s="157"/>
      <c r="BG20" s="157"/>
      <c r="BH20" s="158"/>
      <c r="BI20" s="604">
        <f t="shared" ref="BI20:BI32" si="3">IF(E20="","",IF(Z20="-","-",IF(Z20&lt;2,PRODUCT(AY20,BD20),0)))</f>
        <v>0.39999999999999997</v>
      </c>
      <c r="BJ20" s="664"/>
      <c r="BK20" s="664"/>
      <c r="BL20" s="664"/>
      <c r="BM20" s="592"/>
      <c r="BN20" s="604">
        <f>IF(E20="","",IF(Z20="-","-",IF(Z20&gt;2,0,IF('Sıvılaşma Potansiyeli Analizi'!BN19&gt;30,0,1.5*EXP(-0.369*SQRT('Sıvılaşma Potansiyeli Analizi'!BN19))*MIN(0.08,AY20)))))</f>
        <v>4.0256506273586068E-2</v>
      </c>
      <c r="BO20" s="664"/>
      <c r="BP20" s="664"/>
      <c r="BQ20" s="664"/>
      <c r="BR20" s="592"/>
      <c r="BS20" s="194">
        <f t="shared" ref="BS20:BS32" si="4">IF(E20="","",IF(Z20="-","-",IF(Z20&gt;2,0,PRODUCT(BN20,BD20))))</f>
        <v>3.2205205018868852E-2</v>
      </c>
      <c r="BT20" s="194"/>
      <c r="BU20" s="194"/>
      <c r="BV20" s="591"/>
      <c r="BW20" s="193">
        <f>IF(E20="","",IF(Z20="-","-",(0.65*$CE$9*0.4*('Sıvılaşma Potansiyeli Analizi'!AM19/'Sıvılaşma Potansiyeli Analizi'!AQ19)*'Sıvılaşma Potansiyeli Analizi'!CF19)/(2.5-0.2*$AW$9)))</f>
        <v>0.16848394689516555</v>
      </c>
      <c r="BX20" s="194"/>
      <c r="BY20" s="194"/>
      <c r="BZ20" s="194"/>
      <c r="CA20" s="604"/>
      <c r="CB20" s="194">
        <f>IF(E20="","",IF(Z20="-","-",IF((BW20/'Sıvılaşma Potansiyeli Analizi'!BJ19)&gt;0.01,('Sıvılaşma Potansiyeli Analizi'!BJ19^(-0.6)*10*0.01),"-")))</f>
        <v>2.7193145056083667E-2</v>
      </c>
      <c r="CC20" s="194"/>
      <c r="CD20" s="194"/>
      <c r="CE20" s="194"/>
      <c r="CF20" s="194"/>
      <c r="CG20" s="182">
        <f t="shared" ref="CG20:CG32" si="5">IF(E20="","",IF(BD20="-","-",PRODUCT(BD20,CB20)))</f>
        <v>2.1754516044866931E-2</v>
      </c>
      <c r="CH20" s="158"/>
      <c r="CI20" s="182"/>
      <c r="CJ20" s="183"/>
      <c r="CK20" s="602">
        <f>IF(E20="","",IF(Z20="-","-",IF('Sıvılaşma Potansiyeli Analizi'!AI19&lt;10,1,IF('Sıvılaşma Potansiyeli Analizi'!AI19&lt;25,2,IF('Sıvılaşma Potansiyeli Analizi'!AI19&lt;50,4,5)))))</f>
        <v>1</v>
      </c>
      <c r="CL20" s="566"/>
      <c r="CM20" s="566"/>
      <c r="CN20" s="590">
        <f t="shared" si="0"/>
        <v>34.472760743084351</v>
      </c>
      <c r="CO20" s="589"/>
      <c r="CP20" s="589"/>
      <c r="CQ20" s="584">
        <f>IF(E20="","",IF(Z20&gt;=1.1,"-",IF(((EXP(('Sıvılaşma Potansiyeli Analizi'!BJ19+CK20)/16+(('Sıvılaşma Potansiyeli Analizi'!BJ19+CK20-16)/21.2)^3-3))*(1+EXP(('Sıvılaşma Potansiyeli Analizi'!BJ19+CK20)/2.4-6.6)))&lt;=TAN(RADIANS(CN20)),((EXP(('Sıvılaşma Potansiyeli Analizi'!BJ19+CK20)/16+(('Sıvılaşma Potansiyeli Analizi'!BJ19+CK20-16)/21.2)^3-3))*(1+EXP(('Sıvılaşma Potansiyeli Analizi'!BJ19+CK20)/2.4-6.6))),TAN(RADIANS(CN20)))))</f>
        <v>9.6427328416319874E-2</v>
      </c>
      <c r="CR20" s="585"/>
      <c r="CS20" s="585"/>
      <c r="CT20" s="585"/>
      <c r="CU20" s="584">
        <f>IF(E20="","",IF(Z20&gt;=1.1,"-",IF(((EXP(('Sıvılaşma Potansiyeli Analizi'!BJ19+CK20)/16+(('Sıvılaşma Potansiyeli Analizi'!BJ19+CK20-16)/21.2)^3-3)))&lt;=TAN(RADIANS(CN20)),((EXP(('Sıvılaşma Potansiyeli Analizi'!BJ19+CK20)/16+(('Sıvılaşma Potansiyeli Analizi'!BJ19+CK20-16)/21.2)^3-3))),TAN(RADIANS(CN20)))))</f>
        <v>8.9331188076370277E-2</v>
      </c>
      <c r="CV20" s="585"/>
      <c r="CW20" s="585"/>
      <c r="CX20" s="585"/>
      <c r="CY20" s="586">
        <f t="shared" si="1"/>
        <v>0.43540517999999995</v>
      </c>
      <c r="CZ20" s="587"/>
      <c r="DA20" s="587"/>
      <c r="DB20" s="587"/>
      <c r="DC20" s="565">
        <f>IF(E20="","",IF(Z20&gt;=1.1,"-",EXP(-8.444+0.109*'Sıvılaşma Potansiyeli Analizi'!BJ19+5.379*(CY20^0.1))*101.33))</f>
        <v>7.9980614463895829</v>
      </c>
      <c r="DD20" s="566"/>
      <c r="DE20" s="566"/>
      <c r="DF20" s="566"/>
      <c r="DG20" s="566"/>
      <c r="DH20" s="566"/>
      <c r="DI20" s="602">
        <f>IF(E20="","",IF(Z20&gt;=1.1,"-",(EXP((0.1292*'Sıvılaşma Potansiyeli Analizi'!BN19)+(4.322*(V20*0.01)^0.12)))*0.04788))</f>
        <v>7.4679831520407944</v>
      </c>
      <c r="DJ20" s="566"/>
      <c r="DK20" s="566"/>
      <c r="DL20" s="566"/>
      <c r="DM20" s="566"/>
      <c r="DN20" s="567"/>
      <c r="DO20" s="178">
        <f t="shared" ref="DO20:DO32" si="6">IF(Z20="-","-",IF(Z20&lt;=1,BD20,"-"))</f>
        <v>0.79999999999999993</v>
      </c>
      <c r="DP20" s="157"/>
      <c r="DQ20" s="157"/>
      <c r="DR20" s="157"/>
      <c r="DS20" s="157"/>
      <c r="DT20" s="157"/>
      <c r="DU20" s="157"/>
      <c r="DV20" s="157"/>
      <c r="DW20" s="158"/>
      <c r="DX20" s="745" t="s">
        <v>274</v>
      </c>
      <c r="DY20" s="746"/>
      <c r="DZ20" s="746"/>
      <c r="EA20" s="746"/>
      <c r="EB20" s="746"/>
      <c r="EC20" s="746"/>
      <c r="ED20" s="746"/>
      <c r="EE20" s="746"/>
      <c r="EF20" s="746"/>
      <c r="EG20" s="746"/>
      <c r="EH20" s="746"/>
      <c r="EI20" s="747"/>
      <c r="EL20" s="49"/>
      <c r="EM20" s="49"/>
      <c r="EN20" s="49"/>
      <c r="EO20" s="49"/>
      <c r="EP20" s="49"/>
      <c r="EQ20" s="49"/>
      <c r="ER20" s="49"/>
      <c r="ES20" s="49"/>
      <c r="ET20" s="49"/>
      <c r="EU20" s="49"/>
      <c r="EV20" s="49"/>
      <c r="EW20" s="49"/>
      <c r="FA20" s="24"/>
      <c r="FB20" s="49"/>
      <c r="FG20" s="79"/>
      <c r="FN20" s="80"/>
      <c r="FO20" s="80"/>
      <c r="FP20" s="80"/>
      <c r="FQ20" s="80"/>
      <c r="FR20" s="80"/>
      <c r="FS20" s="80"/>
      <c r="FT20" s="80"/>
      <c r="FU20" s="80"/>
      <c r="FV20" s="80"/>
      <c r="FW20" s="80"/>
      <c r="FX20" s="80"/>
      <c r="FY20" s="80"/>
      <c r="FZ20" s="80"/>
      <c r="GA20" s="81"/>
      <c r="GB20" s="81"/>
      <c r="GC20" s="81"/>
      <c r="GD20" s="81"/>
      <c r="GE20" s="81"/>
      <c r="GF20" s="81"/>
      <c r="GG20" s="81"/>
      <c r="GH20" s="81"/>
      <c r="GI20" s="81"/>
      <c r="GJ20" s="81"/>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W20" s="24"/>
      <c r="HX20" s="24"/>
      <c r="HY20" s="24"/>
      <c r="HZ20" s="738"/>
      <c r="IA20" s="738"/>
      <c r="IB20" s="738"/>
      <c r="IM20" s="24"/>
      <c r="IN20" s="24"/>
      <c r="IO20" s="24"/>
      <c r="IP20" s="24"/>
      <c r="IQ20" s="24"/>
      <c r="IR20" s="24"/>
      <c r="IS20" s="24"/>
      <c r="IT20" s="24"/>
      <c r="IU20" s="24"/>
      <c r="IV20" s="24"/>
    </row>
    <row r="21" spans="2:256" ht="24.95" customHeight="1">
      <c r="B21" s="593" t="str">
        <f>+IF('Sıvılaşma Potansiyeli Analizi'!B20="","",'Sıvılaşma Potansiyeli Analizi'!B20)</f>
        <v>4 -</v>
      </c>
      <c r="C21" s="594"/>
      <c r="D21" s="594"/>
      <c r="E21" s="595">
        <f>+IF('Sıvılaşma Potansiyeli Analizi'!E20="","",'Sıvılaşma Potansiyeli Analizi'!E20)</f>
        <v>3.4</v>
      </c>
      <c r="F21" s="596"/>
      <c r="G21" s="596"/>
      <c r="H21" s="597"/>
      <c r="I21" s="598">
        <v>11</v>
      </c>
      <c r="J21" s="598"/>
      <c r="K21" s="598"/>
      <c r="L21" s="599" t="str">
        <f>+IF('Sıvılaşma Potansiyeli Analizi'!L20="","",'Sıvılaşma Potansiyeli Analizi'!L20)</f>
        <v>SC</v>
      </c>
      <c r="M21" s="600"/>
      <c r="N21" s="600"/>
      <c r="O21" s="600"/>
      <c r="P21" s="600"/>
      <c r="Q21" s="595" t="str">
        <f>+IF('Sıvılaşma Potansiyeli Analizi'!Q20="","",'Sıvılaşma Potansiyeli Analizi'!Q20)</f>
        <v>-</v>
      </c>
      <c r="R21" s="596"/>
      <c r="S21" s="596"/>
      <c r="T21" s="596"/>
      <c r="U21" s="597"/>
      <c r="V21" s="601">
        <f>+IF('Sıvılaşma Potansiyeli Analizi'!AQ20="","",'Sıvılaşma Potansiyeli Analizi'!AQ20)</f>
        <v>52.265999999999998</v>
      </c>
      <c r="W21" s="601"/>
      <c r="X21" s="601"/>
      <c r="Y21" s="601"/>
      <c r="Z21" s="178">
        <f>+IF('Sıvılaşma Potansiyeli Analizi'!CN20="","",'Sıvılaşma Potansiyeli Analizi'!CN20)</f>
        <v>0.51</v>
      </c>
      <c r="AA21" s="157"/>
      <c r="AB21" s="157"/>
      <c r="AC21" s="158"/>
      <c r="AD21" s="182" t="str">
        <f>+IF('Sıvılaşma Potansiyeli Analizi'!CR20="","",'Sıvılaşma Potansiyeli Analizi'!CR20)</f>
        <v>Sıvılaşma Beklenir</v>
      </c>
      <c r="AE21" s="182"/>
      <c r="AF21" s="182"/>
      <c r="AG21" s="182"/>
      <c r="AH21" s="182"/>
      <c r="AI21" s="182"/>
      <c r="AJ21" s="182"/>
      <c r="AK21" s="182"/>
      <c r="AL21" s="182"/>
      <c r="AM21" s="182"/>
      <c r="AN21" s="183"/>
      <c r="AO21" s="193">
        <f>IF(E21="","",IF(Z21="-","-",IF('Sıvılaşma Potansiyeli Analizi'!BJ20&gt;30,0,MAX(0,MIN(0.5,1.859*(1.1-SQRT('Sıvılaşma Potansiyeli Analizi'!BN20/46))^3)))))</f>
        <v>0.5</v>
      </c>
      <c r="AP21" s="592"/>
      <c r="AQ21" s="194"/>
      <c r="AR21" s="194"/>
      <c r="AS21" s="194"/>
      <c r="AT21" s="194">
        <f>IF(E21="","", IF(Z21="-","-",IF('Sıvılaşma Potansiyeli Analizi'!BN20&gt;30,0,0.032+0.69*SQRT(MAX(7,'Sıvılaşma Potansiyeli Analizi'!BN20))-0.13*MAX(7,'Sıvılaşma Potansiyeli Analizi'!BN20))))</f>
        <v>0.94756840463456748</v>
      </c>
      <c r="AU21" s="194"/>
      <c r="AV21" s="194"/>
      <c r="AW21" s="194"/>
      <c r="AX21" s="194"/>
      <c r="AY21" s="194">
        <f t="shared" si="2"/>
        <v>0.5</v>
      </c>
      <c r="AZ21" s="194"/>
      <c r="BA21" s="194"/>
      <c r="BB21" s="194"/>
      <c r="BC21" s="194"/>
      <c r="BD21" s="162">
        <f>IF('Sıvılaşma Potansiyeli Analizi'!E20="","",IF('Sıvılaşma Potansiyeli Analizi'!CN20="-","-",IF('Sıvılaşma Potansiyeli Analizi'!CN20&gt;1.1,0,IF('Sıvılaşma Potansiyeli Analizi'!E21="",('Sıvılaşma Potansiyeli Analizi'!$E$33-'Sıvılaşma Potansiyeli Analizi'!E20)+(('Sıvılaşma Potansiyeli Analizi'!E20-'Sıvılaşma Potansiyeli Analizi'!E19)/2),IF(AND(BD20=0,'Sıvılaşma Potansiyeli Analizi'!$BC$8&lt;'Sıvılaşma Potansiyeli Analizi'!E20,'Sıvılaşma Potansiyeli Analizi'!$BC$8&gt;='Sıvılaşma Potansiyeli Analizi'!E19),(('Sıvılaşma Potansiyeli Analizi'!E21-'Sıvılaşma Potansiyeli Analizi'!E20)/2)+('Sıvılaşma Potansiyeli Analizi'!E20-'Sıvılaşma Potansiyeli Analizi'!$BC$8),(('Sıvılaşma Potansiyeli Analizi'!E21-'Sıvılaşma Potansiyeli Analizi'!E20)/2)+(('Sıvılaşma Potansiyeli Analizi'!E20-'Sıvılaşma Potansiyeli Analizi'!E19)/2))))))</f>
        <v>0.74999999999999978</v>
      </c>
      <c r="BE21" s="157"/>
      <c r="BF21" s="157"/>
      <c r="BG21" s="157"/>
      <c r="BH21" s="158"/>
      <c r="BI21" s="604">
        <f t="shared" si="3"/>
        <v>0.37499999999999989</v>
      </c>
      <c r="BJ21" s="664"/>
      <c r="BK21" s="664"/>
      <c r="BL21" s="664"/>
      <c r="BM21" s="592"/>
      <c r="BN21" s="604">
        <f>IF(E21="","",IF(Z21="-","-",IF(Z21&gt;2,0,IF('Sıvılaşma Potansiyeli Analizi'!BN20&gt;30,0,1.5*EXP(-0.369*SQRT('Sıvılaşma Potansiyeli Analizi'!BN20))*MIN(0.08,AY21)))))</f>
        <v>4.9536582964366631E-2</v>
      </c>
      <c r="BO21" s="664"/>
      <c r="BP21" s="664"/>
      <c r="BQ21" s="664"/>
      <c r="BR21" s="592"/>
      <c r="BS21" s="194">
        <f t="shared" si="4"/>
        <v>3.7152437223274964E-2</v>
      </c>
      <c r="BT21" s="194"/>
      <c r="BU21" s="194"/>
      <c r="BV21" s="591"/>
      <c r="BW21" s="193">
        <f>IF(E21="","",IF(Z21="-","-",(0.65*$CE$9*0.4*('Sıvılaşma Potansiyeli Analizi'!AM20/'Sıvılaşma Potansiyeli Analizi'!AQ20)*'Sıvılaşma Potansiyeli Analizi'!CF20)/(2.5-0.2*$AW$9)))</f>
        <v>0.18653885700072709</v>
      </c>
      <c r="BX21" s="194"/>
      <c r="BY21" s="194"/>
      <c r="BZ21" s="194"/>
      <c r="CA21" s="604"/>
      <c r="CB21" s="194">
        <f>IF(E21="","",IF(Z21="-","-",IF((BW21/'Sıvılaşma Potansiyeli Analizi'!BJ20)&gt;0.01,('Sıvılaşma Potansiyeli Analizi'!BJ20^(-0.6)*10*0.01),"-")))</f>
        <v>3.5012982630733457E-2</v>
      </c>
      <c r="CC21" s="194"/>
      <c r="CD21" s="194"/>
      <c r="CE21" s="194"/>
      <c r="CF21" s="194"/>
      <c r="CG21" s="182">
        <f t="shared" si="5"/>
        <v>2.6259736973050084E-2</v>
      </c>
      <c r="CH21" s="158"/>
      <c r="CI21" s="182"/>
      <c r="CJ21" s="183"/>
      <c r="CK21" s="588">
        <f>IF(E21="","",IF(Z21="-","-",IF('Sıvılaşma Potansiyeli Analizi'!AI20&lt;10,1,IF('Sıvılaşma Potansiyeli Analizi'!AI20&lt;25,2,IF('Sıvılaşma Potansiyeli Analizi'!AI20&lt;50,4,5)))))</f>
        <v>1</v>
      </c>
      <c r="CL21" s="589"/>
      <c r="CM21" s="589"/>
      <c r="CN21" s="590">
        <f t="shared" si="0"/>
        <v>37.968072093852932</v>
      </c>
      <c r="CO21" s="589"/>
      <c r="CP21" s="589"/>
      <c r="CQ21" s="584">
        <f>IF(E21="","",IF(Z21&gt;=1.1,"-",IF(((EXP(('Sıvılaşma Potansiyeli Analizi'!BJ20+CK21)/16+(('Sıvılaşma Potansiyeli Analizi'!BJ20+CK21-16)/21.2)^3-3))*(1+EXP(('Sıvılaşma Potansiyeli Analizi'!BJ20+CK21)/2.4-6.6)))&lt;=TAN(RADIANS(CN21)),((EXP(('Sıvılaşma Potansiyeli Analizi'!BJ20+CK21)/16+(('Sıvılaşma Potansiyeli Analizi'!BJ20+CK21-16)/21.2)^3-3))*(1+EXP(('Sıvılaşma Potansiyeli Analizi'!BJ20+CK21)/2.4-6.6))),TAN(RADIANS(CN21)))))</f>
        <v>7.1442995375098989E-2</v>
      </c>
      <c r="CR21" s="585"/>
      <c r="CS21" s="585"/>
      <c r="CT21" s="585"/>
      <c r="CU21" s="584">
        <f>IF(E21="","",IF(Z21&gt;=1.1,"-",IF(((EXP(('Sıvılaşma Potansiyeli Analizi'!BJ20+CK21)/16+(('Sıvılaşma Potansiyeli Analizi'!BJ20+CK21-16)/21.2)^3-3)))&lt;=TAN(RADIANS(CN21)),((EXP(('Sıvılaşma Potansiyeli Analizi'!BJ20+CK21)/16+(('Sıvılaşma Potansiyeli Analizi'!BJ20+CK21-16)/21.2)^3-3))),TAN(RADIANS(CN21)))))</f>
        <v>6.986092807615249E-2</v>
      </c>
      <c r="CV21" s="585"/>
      <c r="CW21" s="585"/>
      <c r="CX21" s="585"/>
      <c r="CY21" s="586">
        <f t="shared" si="1"/>
        <v>0.51586542000000002</v>
      </c>
      <c r="CZ21" s="587"/>
      <c r="DA21" s="587"/>
      <c r="DB21" s="587"/>
      <c r="DC21" s="565">
        <f>IF(E21="","",IF(Z21&gt;=1.1,"-",EXP(-8.444+0.109*'Sıvılaşma Potansiyeli Analizi'!BJ20+5.379*(CY21^0.1))*101.33))</f>
        <v>6.2685644350188685</v>
      </c>
      <c r="DD21" s="566"/>
      <c r="DE21" s="566"/>
      <c r="DF21" s="566"/>
      <c r="DG21" s="566"/>
      <c r="DH21" s="566"/>
      <c r="DI21" s="602">
        <f>IF(E21="","",IF(Z21&gt;=1.1,"-",(EXP((0.1292*'Sıvılaşma Potansiyeli Analizi'!BN20)+(4.322*(V21*0.01)^0.12)))*0.04788))</f>
        <v>5.4850049258469999</v>
      </c>
      <c r="DJ21" s="566"/>
      <c r="DK21" s="566"/>
      <c r="DL21" s="566"/>
      <c r="DM21" s="566"/>
      <c r="DN21" s="567"/>
      <c r="DO21" s="178">
        <f t="shared" si="6"/>
        <v>0.74999999999999978</v>
      </c>
      <c r="DP21" s="157"/>
      <c r="DQ21" s="157"/>
      <c r="DR21" s="157"/>
      <c r="DS21" s="157"/>
      <c r="DT21" s="157"/>
      <c r="DU21" s="157"/>
      <c r="DV21" s="157"/>
      <c r="DW21" s="158"/>
      <c r="DX21" s="748">
        <f>0.4*$CE$9</f>
        <v>0.27999999999999997</v>
      </c>
      <c r="DY21" s="748"/>
      <c r="DZ21" s="748"/>
      <c r="EA21" s="748"/>
      <c r="EB21" s="748"/>
      <c r="EC21" s="748"/>
      <c r="ED21" s="748"/>
      <c r="EE21" s="748"/>
      <c r="EF21" s="748"/>
      <c r="EG21" s="748"/>
      <c r="EH21" s="748"/>
      <c r="EI21" s="749"/>
      <c r="EL21" s="49"/>
      <c r="EM21" s="49"/>
      <c r="EN21" s="49"/>
      <c r="EO21" s="49"/>
      <c r="EP21" s="49"/>
      <c r="EQ21" s="49"/>
      <c r="ER21" s="49"/>
      <c r="ES21" s="49"/>
      <c r="ET21" s="49"/>
      <c r="EU21" s="49"/>
      <c r="EV21" s="49"/>
      <c r="EW21" s="49"/>
      <c r="FA21" s="24"/>
      <c r="FB21" s="49"/>
      <c r="FG21" s="79"/>
      <c r="FN21" s="80"/>
      <c r="FO21" s="80"/>
      <c r="FP21" s="80"/>
      <c r="FQ21" s="80"/>
      <c r="FR21" s="80"/>
      <c r="FS21" s="80"/>
      <c r="FT21" s="80"/>
      <c r="FU21" s="80"/>
      <c r="FV21" s="80"/>
      <c r="FW21" s="80"/>
      <c r="FX21" s="80"/>
      <c r="FY21" s="80"/>
      <c r="FZ21" s="80"/>
      <c r="GA21" s="81"/>
      <c r="GB21" s="81"/>
      <c r="GC21" s="81"/>
      <c r="GD21" s="81"/>
      <c r="GE21" s="81"/>
      <c r="GF21" s="81"/>
      <c r="GG21" s="81"/>
      <c r="GH21" s="81"/>
      <c r="GI21" s="81"/>
      <c r="GJ21" s="81"/>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W21" s="24"/>
      <c r="HX21" s="24"/>
      <c r="HY21" s="24"/>
      <c r="HZ21" s="738"/>
      <c r="IA21" s="738"/>
      <c r="IB21" s="738"/>
      <c r="IM21" s="24"/>
      <c r="IN21" s="24"/>
      <c r="IO21" s="24"/>
      <c r="IP21" s="24"/>
      <c r="IQ21" s="24"/>
      <c r="IR21" s="24"/>
      <c r="IS21" s="24"/>
      <c r="IT21" s="24"/>
      <c r="IU21" s="24"/>
      <c r="IV21" s="24"/>
    </row>
    <row r="22" spans="2:256" ht="24.95" customHeight="1">
      <c r="B22" s="593" t="str">
        <f>+IF('Sıvılaşma Potansiyeli Analizi'!B21="","",'Sıvılaşma Potansiyeli Analizi'!B21)</f>
        <v>5 -</v>
      </c>
      <c r="C22" s="594"/>
      <c r="D22" s="594"/>
      <c r="E22" s="595">
        <f>+IF('Sıvılaşma Potansiyeli Analizi'!E21="","",'Sıvılaşma Potansiyeli Analizi'!E21)</f>
        <v>4.0999999999999996</v>
      </c>
      <c r="F22" s="596"/>
      <c r="G22" s="596"/>
      <c r="H22" s="597"/>
      <c r="I22" s="598">
        <f>+IF('Sıvılaşma Potansiyeli Analizi'!I21="","",'Sıvılaşma Potansiyeli Analizi'!I21)</f>
        <v>10</v>
      </c>
      <c r="J22" s="598"/>
      <c r="K22" s="598"/>
      <c r="L22" s="599" t="str">
        <f>+IF('Sıvılaşma Potansiyeli Analizi'!L21="","",'Sıvılaşma Potansiyeli Analizi'!L21)</f>
        <v>CH</v>
      </c>
      <c r="M22" s="600"/>
      <c r="N22" s="600"/>
      <c r="O22" s="600"/>
      <c r="P22" s="600"/>
      <c r="Q22" s="595" t="str">
        <f>+IF('Sıvılaşma Potansiyeli Analizi'!Q21="","",'Sıvılaşma Potansiyeli Analizi'!Q21)</f>
        <v>-</v>
      </c>
      <c r="R22" s="596"/>
      <c r="S22" s="596"/>
      <c r="T22" s="596"/>
      <c r="U22" s="597"/>
      <c r="V22" s="601">
        <f>+IF('Sıvılaşma Potansiyeli Analizi'!AQ21="","",'Sıvılaşma Potansiyeli Analizi'!AQ21)</f>
        <v>59.399000000000001</v>
      </c>
      <c r="W22" s="601"/>
      <c r="X22" s="601"/>
      <c r="Y22" s="601"/>
      <c r="Z22" s="178">
        <f>+IF('Sıvılaşma Potansiyeli Analizi'!CN21="","",'Sıvılaşma Potansiyeli Analizi'!CN21)</f>
        <v>0.73</v>
      </c>
      <c r="AA22" s="157"/>
      <c r="AB22" s="157"/>
      <c r="AC22" s="158"/>
      <c r="AD22" s="182" t="str">
        <f>+IF('Sıvılaşma Potansiyeli Analizi'!CR21="","",'Sıvılaşma Potansiyeli Analizi'!CR21)</f>
        <v>Sıvılaşma Beklenir</v>
      </c>
      <c r="AE22" s="182"/>
      <c r="AF22" s="182"/>
      <c r="AG22" s="182"/>
      <c r="AH22" s="182"/>
      <c r="AI22" s="182"/>
      <c r="AJ22" s="182"/>
      <c r="AK22" s="182"/>
      <c r="AL22" s="182"/>
      <c r="AM22" s="182"/>
      <c r="AN22" s="183"/>
      <c r="AO22" s="193">
        <f>IF(E22="","",IF(Z22="-","-",IF('Sıvılaşma Potansiyeli Analizi'!BJ21&gt;30,0,MAX(0,MIN(0.5,1.859*(1.1-SQRT('Sıvılaşma Potansiyeli Analizi'!BN21/46))^3)))))</f>
        <v>0.43403696198637376</v>
      </c>
      <c r="AP22" s="592"/>
      <c r="AQ22" s="194"/>
      <c r="AR22" s="194"/>
      <c r="AS22" s="194"/>
      <c r="AT22" s="194">
        <f>IF(E22="","", IF(Z22="-","-",IF('Sıvılaşma Potansiyeli Analizi'!BN21&gt;30,0,0.032+0.69*SQRT(MAX(7,'Sıvılaşma Potansiyeli Analizi'!BN21))-0.13*MAX(7,'Sıvılaşma Potansiyeli Analizi'!BN21))))</f>
        <v>0.89591635690824556</v>
      </c>
      <c r="AU22" s="194"/>
      <c r="AV22" s="194"/>
      <c r="AW22" s="194"/>
      <c r="AX22" s="194"/>
      <c r="AY22" s="194">
        <f t="shared" si="2"/>
        <v>0.43403696198637376</v>
      </c>
      <c r="AZ22" s="194"/>
      <c r="BA22" s="194"/>
      <c r="BB22" s="194"/>
      <c r="BC22" s="194"/>
      <c r="BD22" s="162">
        <f>IF('Sıvılaşma Potansiyeli Analizi'!E21="","",IF('Sıvılaşma Potansiyeli Analizi'!CN21="-","-",IF('Sıvılaşma Potansiyeli Analizi'!CN21&gt;1.1,0,IF('Sıvılaşma Potansiyeli Analizi'!E22="",('Sıvılaşma Potansiyeli Analizi'!$E$33-'Sıvılaşma Potansiyeli Analizi'!E21)+(('Sıvılaşma Potansiyeli Analizi'!E21-'Sıvılaşma Potansiyeli Analizi'!E20)/2),IF(AND(BD21=0,'Sıvılaşma Potansiyeli Analizi'!$BC$8&lt;'Sıvılaşma Potansiyeli Analizi'!E21,'Sıvılaşma Potansiyeli Analizi'!$BC$8&gt;='Sıvılaşma Potansiyeli Analizi'!E20),(('Sıvılaşma Potansiyeli Analizi'!E22-'Sıvılaşma Potansiyeli Analizi'!E21)/2)+('Sıvılaşma Potansiyeli Analizi'!E21-'Sıvılaşma Potansiyeli Analizi'!$BC$8),(('Sıvılaşma Potansiyeli Analizi'!E22-'Sıvılaşma Potansiyeli Analizi'!E21)/2)+(('Sıvılaşma Potansiyeli Analizi'!E21-'Sıvılaşma Potansiyeli Analizi'!E20)/2))))))</f>
        <v>0.75000000000000022</v>
      </c>
      <c r="BE22" s="157"/>
      <c r="BF22" s="157"/>
      <c r="BG22" s="157"/>
      <c r="BH22" s="158"/>
      <c r="BI22" s="604">
        <f t="shared" si="3"/>
        <v>0.32552772148978043</v>
      </c>
      <c r="BJ22" s="664"/>
      <c r="BK22" s="664"/>
      <c r="BL22" s="664"/>
      <c r="BM22" s="592"/>
      <c r="BN22" s="604">
        <f>IF(E22="","",IF(Z22="-","-",IF(Z22&gt;2,0,IF('Sıvılaşma Potansiyeli Analizi'!BN21&gt;30,0,1.5*EXP(-0.369*SQRT('Sıvılaşma Potansiyeli Analizi'!BN21))*MIN(0.08,AY22)))))</f>
        <v>3.5716378231694684E-2</v>
      </c>
      <c r="BO22" s="664"/>
      <c r="BP22" s="664"/>
      <c r="BQ22" s="664"/>
      <c r="BR22" s="592"/>
      <c r="BS22" s="194">
        <f t="shared" si="4"/>
        <v>2.678728367377102E-2</v>
      </c>
      <c r="BT22" s="194"/>
      <c r="BU22" s="194"/>
      <c r="BV22" s="591"/>
      <c r="BW22" s="193">
        <f>IF(E22="","",IF(Z22="-","-",(0.65*$CE$9*0.4*('Sıvılaşma Potansiyeli Analizi'!AM21/'Sıvılaşma Potansiyeli Analizi'!AQ21)*'Sıvılaşma Potansiyeli Analizi'!CF21)/(2.5-0.2*$AW$9)))</f>
        <v>0.19786143425534661</v>
      </c>
      <c r="BX22" s="194"/>
      <c r="BY22" s="194"/>
      <c r="BZ22" s="194"/>
      <c r="CA22" s="604"/>
      <c r="CB22" s="194">
        <f>IF(E22="","",IF(Z22="-","-",IF((BW22/'Sıvılaşma Potansiyeli Analizi'!BJ21)&gt;0.01,('Sıvılaşma Potansiyeli Analizi'!BJ21^(-0.6)*10*0.01),"-")))</f>
        <v>2.4003748720195065E-2</v>
      </c>
      <c r="CC22" s="194"/>
      <c r="CD22" s="194"/>
      <c r="CE22" s="194"/>
      <c r="CF22" s="194"/>
      <c r="CG22" s="182">
        <f t="shared" si="5"/>
        <v>1.8002811540146303E-2</v>
      </c>
      <c r="CH22" s="158"/>
      <c r="CI22" s="182"/>
      <c r="CJ22" s="183"/>
      <c r="CK22" s="588">
        <f>IF(E22="","",IF(Z22="-","-",IF('Sıvılaşma Potansiyeli Analizi'!AI21&lt;10,1,IF('Sıvılaşma Potansiyeli Analizi'!AI21&lt;25,2,IF('Sıvılaşma Potansiyeli Analizi'!AI21&lt;50,4,5)))))</f>
        <v>1</v>
      </c>
      <c r="CL22" s="589"/>
      <c r="CM22" s="589"/>
      <c r="CN22" s="590">
        <f t="shared" si="0"/>
        <v>36.496243322603299</v>
      </c>
      <c r="CO22" s="589"/>
      <c r="CP22" s="589"/>
      <c r="CQ22" s="584">
        <f>IF(E22="","",IF(Z22&gt;=1.1,"-",IF(((EXP(('Sıvılaşma Potansiyeli Analizi'!BJ21+CK22)/16+(('Sıvılaşma Potansiyeli Analizi'!BJ21+CK22-16)/21.2)^3-3))*(1+EXP(('Sıvılaşma Potansiyeli Analizi'!BJ21+CK22)/2.4-6.6)))&lt;=TAN(RADIANS(CN22)),((EXP(('Sıvılaşma Potansiyeli Analizi'!BJ21+CK22)/16+(('Sıvılaşma Potansiyeli Analizi'!BJ21+CK22-16)/21.2)^3-3))*(1+EXP(('Sıvılaşma Potansiyeli Analizi'!BJ21+CK22)/2.4-6.6))),TAN(RADIANS(CN22)))))</f>
        <v>0.12224404317946264</v>
      </c>
      <c r="CR22" s="585"/>
      <c r="CS22" s="585"/>
      <c r="CT22" s="585"/>
      <c r="CU22" s="584">
        <f>IF(E22="","",IF(Z22&gt;=1.1,"-",IF(((EXP(('Sıvılaşma Potansiyeli Analizi'!BJ21+CK22)/16+(('Sıvılaşma Potansiyeli Analizi'!BJ21+CK22-16)/21.2)^3-3)))&lt;=TAN(RADIANS(CN22)),((EXP(('Sıvılaşma Potansiyeli Analizi'!BJ21+CK22)/16+(('Sıvılaşma Potansiyeli Analizi'!BJ21+CK22-16)/21.2)^3-3))),TAN(RADIANS(CN22)))))</f>
        <v>0.10318667587588963</v>
      </c>
      <c r="CV22" s="585"/>
      <c r="CW22" s="585"/>
      <c r="CX22" s="585"/>
      <c r="CY22" s="586">
        <f t="shared" si="1"/>
        <v>0.58626812999999989</v>
      </c>
      <c r="CZ22" s="587"/>
      <c r="DA22" s="587"/>
      <c r="DB22" s="587"/>
      <c r="DC22" s="565">
        <f>IF(E22="","",IF(Z22&gt;=1.1,"-",EXP(-8.444+0.109*'Sıvılaşma Potansiyeli Analizi'!BJ21+5.379*(CY22^0.1))*101.33))</f>
        <v>11.581219629033473</v>
      </c>
      <c r="DD22" s="566"/>
      <c r="DE22" s="566"/>
      <c r="DF22" s="566"/>
      <c r="DG22" s="566"/>
      <c r="DH22" s="566"/>
      <c r="DI22" s="602">
        <f>IF(E22="","",IF(Z22&gt;=1.1,"-",(EXP((0.1292*'Sıvılaşma Potansiyeli Analizi'!BN21)+(4.322*(V22*0.01)^0.12)))*0.04788))</f>
        <v>11.185665697087288</v>
      </c>
      <c r="DJ22" s="566"/>
      <c r="DK22" s="566"/>
      <c r="DL22" s="566"/>
      <c r="DM22" s="566"/>
      <c r="DN22" s="567"/>
      <c r="DO22" s="178">
        <f t="shared" si="6"/>
        <v>0.75000000000000022</v>
      </c>
      <c r="DP22" s="157"/>
      <c r="DQ22" s="157"/>
      <c r="DR22" s="157"/>
      <c r="DS22" s="157"/>
      <c r="DT22" s="157"/>
      <c r="DU22" s="157"/>
      <c r="DV22" s="157"/>
      <c r="DW22" s="158"/>
      <c r="DX22" s="750"/>
      <c r="DY22" s="750"/>
      <c r="DZ22" s="750"/>
      <c r="EA22" s="750"/>
      <c r="EB22" s="750"/>
      <c r="EC22" s="750"/>
      <c r="ED22" s="750"/>
      <c r="EE22" s="750"/>
      <c r="EF22" s="750"/>
      <c r="EG22" s="750"/>
      <c r="EH22" s="750"/>
      <c r="EI22" s="751"/>
      <c r="EL22" s="49"/>
      <c r="EM22" s="49"/>
      <c r="EN22" s="49"/>
      <c r="EO22" s="49"/>
      <c r="EP22" s="49"/>
      <c r="EQ22" s="49"/>
      <c r="ER22" s="49"/>
      <c r="ES22" s="49"/>
      <c r="ET22" s="49"/>
      <c r="EU22" s="49"/>
      <c r="EV22" s="49"/>
      <c r="EW22" s="49"/>
      <c r="FA22" s="24"/>
      <c r="FB22" s="49"/>
      <c r="FG22" s="79"/>
      <c r="FN22" s="80"/>
      <c r="FO22" s="80"/>
      <c r="FP22" s="80"/>
      <c r="FQ22" s="80"/>
      <c r="FR22" s="80"/>
      <c r="FS22" s="80"/>
      <c r="FT22" s="80"/>
      <c r="FU22" s="80"/>
      <c r="FV22" s="80"/>
      <c r="FW22" s="80"/>
      <c r="FX22" s="80"/>
      <c r="FY22" s="80"/>
      <c r="FZ22" s="80"/>
      <c r="GA22" s="81"/>
      <c r="GB22" s="81"/>
      <c r="GC22" s="81"/>
      <c r="GD22" s="81"/>
      <c r="GE22" s="81"/>
      <c r="GF22" s="81"/>
      <c r="GG22" s="81"/>
      <c r="GH22" s="81"/>
      <c r="GI22" s="81"/>
      <c r="GJ22" s="81"/>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W22" s="24"/>
      <c r="HX22" s="24"/>
      <c r="HY22" s="24"/>
      <c r="HZ22" s="738"/>
      <c r="IA22" s="738"/>
      <c r="IB22" s="738"/>
      <c r="IM22" s="24"/>
      <c r="IN22" s="24"/>
      <c r="IO22" s="24"/>
      <c r="IP22" s="24"/>
      <c r="IQ22" s="24"/>
      <c r="IR22" s="24"/>
      <c r="IS22" s="24"/>
      <c r="IT22" s="24"/>
      <c r="IU22" s="24"/>
      <c r="IV22" s="24"/>
    </row>
    <row r="23" spans="2:256" ht="24.95" customHeight="1">
      <c r="B23" s="593" t="str">
        <f>+IF('Sıvılaşma Potansiyeli Analizi'!B22="","",'Sıvılaşma Potansiyeli Analizi'!B22)</f>
        <v>6 -</v>
      </c>
      <c r="C23" s="594"/>
      <c r="D23" s="594"/>
      <c r="E23" s="595">
        <f>+IF('Sıvılaşma Potansiyeli Analizi'!E22="","",'Sıvılaşma Potansiyeli Analizi'!E22)</f>
        <v>4.9000000000000004</v>
      </c>
      <c r="F23" s="596"/>
      <c r="G23" s="596"/>
      <c r="H23" s="597"/>
      <c r="I23" s="598">
        <f>+IF('Sıvılaşma Potansiyeli Analizi'!I22="","",'Sıvılaşma Potansiyeli Analizi'!I22)</f>
        <v>10</v>
      </c>
      <c r="J23" s="598"/>
      <c r="K23" s="598"/>
      <c r="L23" s="599" t="str">
        <f>+IF('Sıvılaşma Potansiyeli Analizi'!L22="","",'Sıvılaşma Potansiyeli Analizi'!L22)</f>
        <v>SW-SC</v>
      </c>
      <c r="M23" s="600"/>
      <c r="N23" s="600"/>
      <c r="O23" s="600"/>
      <c r="P23" s="600"/>
      <c r="Q23" s="595" t="str">
        <f>+IF('Sıvılaşma Potansiyeli Analizi'!Q22="","",'Sıvılaşma Potansiyeli Analizi'!Q22)</f>
        <v>-</v>
      </c>
      <c r="R23" s="596"/>
      <c r="S23" s="596"/>
      <c r="T23" s="596"/>
      <c r="U23" s="597"/>
      <c r="V23" s="601">
        <f>+IF('Sıvılaşma Potansiyeli Analizi'!AQ22="","",'Sıvılaşma Potansiyeli Analizi'!AQ22)</f>
        <v>67.550999999999988</v>
      </c>
      <c r="W23" s="601"/>
      <c r="X23" s="601"/>
      <c r="Y23" s="601"/>
      <c r="Z23" s="178">
        <f>+IF('Sıvılaşma Potansiyeli Analizi'!CN22="","",'Sıvılaşma Potansiyeli Analizi'!CN22)</f>
        <v>0.73</v>
      </c>
      <c r="AA23" s="157"/>
      <c r="AB23" s="157"/>
      <c r="AC23" s="158"/>
      <c r="AD23" s="182" t="str">
        <f>+IF('Sıvılaşma Potansiyeli Analizi'!CR22="","",'Sıvılaşma Potansiyeli Analizi'!CR22)</f>
        <v>Sıvılaşma Beklenir</v>
      </c>
      <c r="AE23" s="182"/>
      <c r="AF23" s="182"/>
      <c r="AG23" s="182"/>
      <c r="AH23" s="182"/>
      <c r="AI23" s="182"/>
      <c r="AJ23" s="182"/>
      <c r="AK23" s="182"/>
      <c r="AL23" s="182"/>
      <c r="AM23" s="182"/>
      <c r="AN23" s="183"/>
      <c r="AO23" s="193">
        <f>IF(E23="","",IF(Z23="-","-",IF('Sıvılaşma Potansiyeli Analizi'!BJ22&gt;30,0,MAX(0,MIN(0.5,1.859*(1.1-SQRT('Sıvılaşma Potansiyeli Analizi'!BN22/46))^3)))))</f>
        <v>0.41018005694040016</v>
      </c>
      <c r="AP23" s="592"/>
      <c r="AQ23" s="194"/>
      <c r="AR23" s="194"/>
      <c r="AS23" s="194"/>
      <c r="AT23" s="194">
        <f>IF(E23="","", IF(Z23="-","-",IF('Sıvılaşma Potansiyeli Analizi'!BN22&gt;30,0,0.032+0.69*SQRT(MAX(7,'Sıvılaşma Potansiyeli Analizi'!BN22))-0.13*MAX(7,'Sıvılaşma Potansiyeli Analizi'!BN22))))</f>
        <v>0.8823478206778046</v>
      </c>
      <c r="AU23" s="194"/>
      <c r="AV23" s="194"/>
      <c r="AW23" s="194"/>
      <c r="AX23" s="194"/>
      <c r="AY23" s="194">
        <f t="shared" si="2"/>
        <v>0.41018005694040016</v>
      </c>
      <c r="AZ23" s="194"/>
      <c r="BA23" s="194"/>
      <c r="BB23" s="194"/>
      <c r="BC23" s="194"/>
      <c r="BD23" s="162">
        <f>IF('Sıvılaşma Potansiyeli Analizi'!E22="","",IF('Sıvılaşma Potansiyeli Analizi'!CN22="-","-",IF('Sıvılaşma Potansiyeli Analizi'!CN22&gt;1.1,0,IF('Sıvılaşma Potansiyeli Analizi'!E23="",('Sıvılaşma Potansiyeli Analizi'!$E$33-'Sıvılaşma Potansiyeli Analizi'!E22)+(('Sıvılaşma Potansiyeli Analizi'!E22-'Sıvılaşma Potansiyeli Analizi'!E21)/2),IF(AND(BD22=0,'Sıvılaşma Potansiyeli Analizi'!$BC$8&lt;'Sıvılaşma Potansiyeli Analizi'!E22,'Sıvılaşma Potansiyeli Analizi'!$BC$8&gt;='Sıvılaşma Potansiyeli Analizi'!E21),(('Sıvılaşma Potansiyeli Analizi'!E23-'Sıvılaşma Potansiyeli Analizi'!E22)/2)+('Sıvılaşma Potansiyeli Analizi'!E22-'Sıvılaşma Potansiyeli Analizi'!$BC$8),(('Sıvılaşma Potansiyeli Analizi'!E23-'Sıvılaşma Potansiyeli Analizi'!E22)/2)+(('Sıvılaşma Potansiyeli Analizi'!E22-'Sıvılaşma Potansiyeli Analizi'!E21)/2))))))</f>
        <v>0.75</v>
      </c>
      <c r="BE23" s="157"/>
      <c r="BF23" s="157"/>
      <c r="BG23" s="157"/>
      <c r="BH23" s="158"/>
      <c r="BI23" s="194">
        <f t="shared" si="3"/>
        <v>0.30763504270530012</v>
      </c>
      <c r="BJ23" s="194"/>
      <c r="BK23" s="194"/>
      <c r="BL23" s="194"/>
      <c r="BM23" s="194"/>
      <c r="BN23" s="194">
        <f>IF(E23="","",IF(Z23="-","-",IF(Z23&gt;2,0,IF('Sıvılaşma Potansiyeli Analizi'!BN22&gt;30,0,1.5*EXP(-0.369*SQRT('Sıvılaşma Potansiyeli Analizi'!BN22))*MIN(0.08,AY23)))))</f>
        <v>3.4703504769528916E-2</v>
      </c>
      <c r="BO23" s="194"/>
      <c r="BP23" s="194"/>
      <c r="BQ23" s="194"/>
      <c r="BR23" s="194"/>
      <c r="BS23" s="194">
        <f t="shared" si="4"/>
        <v>2.6027628577146689E-2</v>
      </c>
      <c r="BT23" s="194"/>
      <c r="BU23" s="194"/>
      <c r="BV23" s="591"/>
      <c r="BW23" s="193">
        <f>IF(E23="","",IF(Z23="-","-",(0.65*$CE$9*0.4*('Sıvılaşma Potansiyeli Analizi'!AM22/'Sıvılaşma Potansiyeli Analizi'!AQ22)*'Sıvılaşma Potansiyeli Analizi'!CF22)/(2.5-0.2*$AW$9)))</f>
        <v>0.20746130183120903</v>
      </c>
      <c r="BX23" s="194"/>
      <c r="BY23" s="194"/>
      <c r="BZ23" s="194"/>
      <c r="CA23" s="604"/>
      <c r="CB23" s="194">
        <f>IF(E23="","",IF(Z23="-","-",IF((BW23/'Sıvılaşma Potansiyeli Analizi'!BJ22)&gt;0.01,('Sıvılaşma Potansiyeli Analizi'!BJ22^(-0.6)*10*0.01),"-")))</f>
        <v>2.3337377897866149E-2</v>
      </c>
      <c r="CC23" s="194"/>
      <c r="CD23" s="194"/>
      <c r="CE23" s="194"/>
      <c r="CF23" s="194"/>
      <c r="CG23" s="182">
        <f t="shared" si="5"/>
        <v>1.7503033423399612E-2</v>
      </c>
      <c r="CH23" s="158"/>
      <c r="CI23" s="182"/>
      <c r="CJ23" s="183"/>
      <c r="CK23" s="588">
        <f>IF(E23="","",IF(Z23="-","-",IF('Sıvılaşma Potansiyeli Analizi'!AI22&lt;10,1,IF('Sıvılaşma Potansiyeli Analizi'!AI22&lt;25,2,IF('Sıvılaşma Potansiyeli Analizi'!AI22&lt;50,4,5)))))</f>
        <v>1</v>
      </c>
      <c r="CL23" s="589"/>
      <c r="CM23" s="589"/>
      <c r="CN23" s="590">
        <f t="shared" si="0"/>
        <v>35.883625993518343</v>
      </c>
      <c r="CO23" s="589"/>
      <c r="CP23" s="589"/>
      <c r="CQ23" s="584">
        <f>IF(E23="","",IF(Z23&gt;=1.1,"-",IF(((EXP(('Sıvılaşma Potansiyeli Analizi'!BJ22+CK23)/16+(('Sıvılaşma Potansiyeli Analizi'!BJ22+CK23-16)/21.2)^3-3))*(1+EXP(('Sıvılaşma Potansiyeli Analizi'!BJ22+CK23)/2.4-6.6)))&lt;=TAN(RADIANS(CN23)),((EXP(('Sıvılaşma Potansiyeli Analizi'!BJ22+CK23)/16+(('Sıvılaşma Potansiyeli Analizi'!BJ22+CK23-16)/21.2)^3-3))*(1+EXP(('Sıvılaşma Potansiyeli Analizi'!BJ22+CK23)/2.4-6.6))),TAN(RADIANS(CN23)))))</f>
        <v>0.13134689370992572</v>
      </c>
      <c r="CR23" s="585"/>
      <c r="CS23" s="585"/>
      <c r="CT23" s="585"/>
      <c r="CU23" s="584">
        <f>IF(E23="","",IF(Z23&gt;=1.1,"-",IF(((EXP(('Sıvılaşma Potansiyeli Analizi'!BJ22+CK23)/16+(('Sıvılaşma Potansiyeli Analizi'!BJ22+CK23-16)/21.2)^3-3)))&lt;=TAN(RADIANS(CN23)),((EXP(('Sıvılaşma Potansiyeli Analizi'!BJ22+CK23)/16+(('Sıvılaşma Potansiyeli Analizi'!BJ22+CK23-16)/21.2)^3-3))),TAN(RADIANS(CN23)))))</f>
        <v>0.10685592375244848</v>
      </c>
      <c r="CV23" s="585"/>
      <c r="CW23" s="585"/>
      <c r="CX23" s="585"/>
      <c r="CY23" s="586">
        <f t="shared" si="1"/>
        <v>0.66672836999999985</v>
      </c>
      <c r="CZ23" s="587"/>
      <c r="DA23" s="587"/>
      <c r="DB23" s="587"/>
      <c r="DC23" s="565">
        <f>IF(E23="","",IF(Z23&gt;=1.1,"-",EXP(-8.444+0.109*'Sıvılaşma Potansiyeli Analizi'!BJ22+5.379*(CY23^0.1))*101.33))</f>
        <v>13.090280180482548</v>
      </c>
      <c r="DD23" s="566"/>
      <c r="DE23" s="566"/>
      <c r="DF23" s="566"/>
      <c r="DG23" s="566"/>
      <c r="DH23" s="566"/>
      <c r="DI23" s="602">
        <f>IF(E23="","",IF(Z23&gt;=1.1,"-",(EXP((0.1292*'Sıvılaşma Potansiyeli Analizi'!BN22)+(4.322*(V23*0.01)^0.12)))*0.04788))</f>
        <v>12.739743586904687</v>
      </c>
      <c r="DJ23" s="566"/>
      <c r="DK23" s="566"/>
      <c r="DL23" s="566"/>
      <c r="DM23" s="566"/>
      <c r="DN23" s="567"/>
      <c r="DO23" s="178">
        <f t="shared" si="6"/>
        <v>0.75</v>
      </c>
      <c r="DP23" s="157"/>
      <c r="DQ23" s="157"/>
      <c r="DR23" s="157"/>
      <c r="DS23" s="157"/>
      <c r="DT23" s="157"/>
      <c r="DU23" s="157"/>
      <c r="DV23" s="157"/>
      <c r="DW23" s="158"/>
      <c r="DX23" s="556" t="s">
        <v>311</v>
      </c>
      <c r="DY23" s="556"/>
      <c r="DZ23" s="556"/>
      <c r="EA23" s="556"/>
      <c r="EB23" s="556"/>
      <c r="EC23" s="556"/>
      <c r="ED23" s="556" t="s">
        <v>308</v>
      </c>
      <c r="EE23" s="556"/>
      <c r="EF23" s="556"/>
      <c r="EG23" s="556"/>
      <c r="EH23" s="556"/>
      <c r="EI23" s="559"/>
      <c r="EL23" s="49"/>
      <c r="EM23" s="49"/>
      <c r="EN23" s="49"/>
      <c r="EO23" s="49"/>
      <c r="EP23" s="49"/>
      <c r="EQ23" s="49"/>
      <c r="ER23" s="49"/>
      <c r="ES23" s="49"/>
      <c r="ET23" s="49"/>
      <c r="EU23" s="49"/>
      <c r="EV23" s="49"/>
      <c r="EW23" s="49"/>
      <c r="FA23" s="24"/>
      <c r="FB23" s="49"/>
      <c r="FG23" s="79"/>
      <c r="FN23" s="80"/>
      <c r="FO23" s="80"/>
      <c r="FP23" s="80"/>
      <c r="FQ23" s="80"/>
      <c r="FR23" s="80"/>
      <c r="FS23" s="80"/>
      <c r="FT23" s="80"/>
      <c r="FU23" s="80"/>
      <c r="FV23" s="80"/>
      <c r="FW23" s="80"/>
      <c r="FX23" s="80"/>
      <c r="FY23" s="80"/>
      <c r="FZ23" s="80"/>
      <c r="GA23" s="81"/>
      <c r="GB23" s="81"/>
      <c r="GC23" s="81"/>
      <c r="GD23" s="81"/>
      <c r="GE23" s="81"/>
      <c r="GF23" s="81"/>
      <c r="GG23" s="81"/>
      <c r="GH23" s="81"/>
      <c r="GI23" s="81"/>
      <c r="GJ23" s="81"/>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W23" s="24"/>
      <c r="HX23" s="24"/>
      <c r="HY23" s="24"/>
      <c r="HZ23" s="24"/>
      <c r="IA23" s="24"/>
      <c r="IB23" s="24"/>
      <c r="IM23" s="24"/>
      <c r="IN23" s="24"/>
      <c r="IO23" s="24"/>
      <c r="IP23" s="24"/>
      <c r="IQ23" s="24"/>
      <c r="IR23" s="24"/>
      <c r="IS23" s="24"/>
      <c r="IT23" s="24"/>
      <c r="IU23" s="24"/>
      <c r="IV23" s="24"/>
    </row>
    <row r="24" spans="2:256" ht="24.95" customHeight="1">
      <c r="B24" s="593" t="str">
        <f>+IF('Sıvılaşma Potansiyeli Analizi'!B23="","",'Sıvılaşma Potansiyeli Analizi'!B23)</f>
        <v>7 -</v>
      </c>
      <c r="C24" s="594"/>
      <c r="D24" s="594"/>
      <c r="E24" s="595">
        <f>+IF('Sıvılaşma Potansiyeli Analizi'!E23="","",'Sıvılaşma Potansiyeli Analizi'!E23)</f>
        <v>5.6</v>
      </c>
      <c r="F24" s="596"/>
      <c r="G24" s="596"/>
      <c r="H24" s="597"/>
      <c r="I24" s="598">
        <f>+IF('Sıvılaşma Potansiyeli Analizi'!I23="","",'Sıvılaşma Potansiyeli Analizi'!I23)</f>
        <v>10</v>
      </c>
      <c r="J24" s="598"/>
      <c r="K24" s="598"/>
      <c r="L24" s="599" t="str">
        <f>+IF('Sıvılaşma Potansiyeli Analizi'!L23="","",'Sıvılaşma Potansiyeli Analizi'!L23)</f>
        <v>CL</v>
      </c>
      <c r="M24" s="600"/>
      <c r="N24" s="600"/>
      <c r="O24" s="600"/>
      <c r="P24" s="600"/>
      <c r="Q24" s="595" t="str">
        <f>+IF('Sıvılaşma Potansiyeli Analizi'!Q23="","",'Sıvılaşma Potansiyeli Analizi'!Q23)</f>
        <v>-</v>
      </c>
      <c r="R24" s="596"/>
      <c r="S24" s="596"/>
      <c r="T24" s="596"/>
      <c r="U24" s="597"/>
      <c r="V24" s="601">
        <f>+IF('Sıvılaşma Potansiyeli Analizi'!AQ23="","",'Sıvılaşma Potansiyeli Analizi'!AQ23)</f>
        <v>74.683999999999997</v>
      </c>
      <c r="W24" s="601"/>
      <c r="X24" s="601"/>
      <c r="Y24" s="601"/>
      <c r="Z24" s="178">
        <f>+IF('Sıvılaşma Potansiyeli Analizi'!CN23="","",'Sıvılaşma Potansiyeli Analizi'!CN23)</f>
        <v>0.68</v>
      </c>
      <c r="AA24" s="157"/>
      <c r="AB24" s="157"/>
      <c r="AC24" s="158"/>
      <c r="AD24" s="182" t="str">
        <f>+IF('Sıvılaşma Potansiyeli Analizi'!CR23="","",'Sıvılaşma Potansiyeli Analizi'!CR23)</f>
        <v>Sıvılaşma Beklenir</v>
      </c>
      <c r="AE24" s="182"/>
      <c r="AF24" s="182"/>
      <c r="AG24" s="182"/>
      <c r="AH24" s="182"/>
      <c r="AI24" s="182"/>
      <c r="AJ24" s="182"/>
      <c r="AK24" s="182"/>
      <c r="AL24" s="182"/>
      <c r="AM24" s="182"/>
      <c r="AN24" s="183"/>
      <c r="AO24" s="193">
        <f>IF(E24="","",IF(Z24="-","-",IF('Sıvılaşma Potansiyeli Analizi'!BJ23&gt;30,0,MAX(0,MIN(0.5,1.859*(1.1-SQRT('Sıvılaşma Potansiyeli Analizi'!BN23/46))^3)))))</f>
        <v>0.43571122269837265</v>
      </c>
      <c r="AP24" s="592"/>
      <c r="AQ24" s="194"/>
      <c r="AR24" s="194"/>
      <c r="AS24" s="194"/>
      <c r="AT24" s="194">
        <f>IF(E24="","", IF(Z24="-","-",IF('Sıvılaşma Potansiyeli Analizi'!BN23&gt;30,0,0.032+0.69*SQRT(MAX(7,'Sıvılaşma Potansiyeli Analizi'!BN23))-0.13*MAX(7,'Sıvılaşma Potansiyeli Analizi'!BN23))))</f>
        <v>0.8967916271179055</v>
      </c>
      <c r="AU24" s="194"/>
      <c r="AV24" s="194"/>
      <c r="AW24" s="194"/>
      <c r="AX24" s="194"/>
      <c r="AY24" s="194">
        <f t="shared" si="2"/>
        <v>0.43571122269837265</v>
      </c>
      <c r="AZ24" s="194"/>
      <c r="BA24" s="194"/>
      <c r="BB24" s="194"/>
      <c r="BC24" s="194"/>
      <c r="BD24" s="162">
        <f>IF('Sıvılaşma Potansiyeli Analizi'!E23="","",IF('Sıvılaşma Potansiyeli Analizi'!CN23="-","-",IF('Sıvılaşma Potansiyeli Analizi'!CN23&gt;1.1,0,IF('Sıvılaşma Potansiyeli Analizi'!E24="",('Sıvılaşma Potansiyeli Analizi'!$E$33-'Sıvılaşma Potansiyeli Analizi'!E23)+(('Sıvılaşma Potansiyeli Analizi'!E23-'Sıvılaşma Potansiyeli Analizi'!E22)/2),IF(AND(BD23=0,'Sıvılaşma Potansiyeli Analizi'!$BC$8&lt;'Sıvılaşma Potansiyeli Analizi'!E23,'Sıvılaşma Potansiyeli Analizi'!$BC$8&gt;='Sıvılaşma Potansiyeli Analizi'!E22),(('Sıvılaşma Potansiyeli Analizi'!E24-'Sıvılaşma Potansiyeli Analizi'!E23)/2)+('Sıvılaşma Potansiyeli Analizi'!E23-'Sıvılaşma Potansiyeli Analizi'!$BC$8),(('Sıvılaşma Potansiyeli Analizi'!E24-'Sıvılaşma Potansiyeli Analizi'!E23)/2)+(('Sıvılaşma Potansiyeli Analizi'!E23-'Sıvılaşma Potansiyeli Analizi'!E22)/2))))))</f>
        <v>0.75</v>
      </c>
      <c r="BE24" s="157"/>
      <c r="BF24" s="157"/>
      <c r="BG24" s="157"/>
      <c r="BH24" s="158"/>
      <c r="BI24" s="194">
        <f t="shared" si="3"/>
        <v>0.3267834170237795</v>
      </c>
      <c r="BJ24" s="194"/>
      <c r="BK24" s="194"/>
      <c r="BL24" s="194"/>
      <c r="BM24" s="194"/>
      <c r="BN24" s="194">
        <f>IF(E24="","",IF(Z24="-","-",IF(Z24&gt;2,0,IF('Sıvılaşma Potansiyeli Analizi'!BN23&gt;30,0,1.5*EXP(-0.369*SQRT('Sıvılaşma Potansiyeli Analizi'!BN23))*MIN(0.08,AY24)))))</f>
        <v>3.5787129756333462E-2</v>
      </c>
      <c r="BO24" s="194"/>
      <c r="BP24" s="194"/>
      <c r="BQ24" s="194"/>
      <c r="BR24" s="194"/>
      <c r="BS24" s="194">
        <f t="shared" si="4"/>
        <v>2.6840347317250095E-2</v>
      </c>
      <c r="BT24" s="194"/>
      <c r="BU24" s="194"/>
      <c r="BV24" s="591"/>
      <c r="BW24" s="193">
        <f>IF(E24="","",IF(Z24="-","-",(0.65*$CE$9*0.4*('Sıvılaşma Potansiyeli Analizi'!AM23/'Sıvılaşma Potansiyeli Analizi'!AQ23)*'Sıvılaşma Potansiyeli Analizi'!CF23)/(2.5-0.2*$AW$9)))</f>
        <v>0.21381580168889369</v>
      </c>
      <c r="BX24" s="194"/>
      <c r="BY24" s="194"/>
      <c r="BZ24" s="194"/>
      <c r="CA24" s="604"/>
      <c r="CB24" s="194">
        <f>IF(E24="","",IF(Z24="-","-",IF((BW24/'Sıvılaşma Potansiyeli Analizi'!BJ23)&gt;0.01,('Sıvılaşma Potansiyeli Analizi'!BJ23^(-0.6)*10*0.01),"-")))</f>
        <v>2.405087023073027E-2</v>
      </c>
      <c r="CC24" s="194"/>
      <c r="CD24" s="194"/>
      <c r="CE24" s="194"/>
      <c r="CF24" s="194"/>
      <c r="CG24" s="182">
        <f t="shared" si="5"/>
        <v>1.8038152673047703E-2</v>
      </c>
      <c r="CH24" s="158"/>
      <c r="CI24" s="182"/>
      <c r="CJ24" s="183"/>
      <c r="CK24" s="588">
        <f>IF(E24="","",IF(Z24="-","-",IF('Sıvılaşma Potansiyeli Analizi'!AI23&lt;10,1,IF('Sıvılaşma Potansiyeli Analizi'!AI23&lt;25,2,IF('Sıvılaşma Potansiyeli Analizi'!AI23&lt;50,4,5)))))</f>
        <v>1</v>
      </c>
      <c r="CL24" s="589"/>
      <c r="CM24" s="589"/>
      <c r="CN24" s="590">
        <f t="shared" si="0"/>
        <v>35.382074665195582</v>
      </c>
      <c r="CO24" s="589"/>
      <c r="CP24" s="589"/>
      <c r="CQ24" s="584">
        <f>IF(E24="","",IF(Z24&gt;=1.1,"-",IF(((EXP(('Sıvılaşma Potansiyeli Analizi'!BJ23+CK24)/16+(('Sıvılaşma Potansiyeli Analizi'!BJ23+CK24-16)/21.2)^3-3))*(1+EXP(('Sıvılaşma Potansiyeli Analizi'!BJ23+CK24)/2.4-6.6)))&lt;=TAN(RADIANS(CN24)),((EXP(('Sıvılaşma Potansiyeli Analizi'!BJ23+CK24)/16+(('Sıvılaşma Potansiyeli Analizi'!BJ23+CK24-16)/21.2)^3-3))*(1+EXP(('Sıvılaşma Potansiyeli Analizi'!BJ23+CK24)/2.4-6.6))),TAN(RADIANS(CN24)))))</f>
        <v>0.12167442343847201</v>
      </c>
      <c r="CR24" s="585"/>
      <c r="CS24" s="585"/>
      <c r="CT24" s="585"/>
      <c r="CU24" s="584">
        <f>IF(E24="","",IF(Z24&gt;=1.1,"-",IF(((EXP(('Sıvılaşma Potansiyeli Analizi'!BJ23+CK24)/16+(('Sıvılaşma Potansiyeli Analizi'!BJ23+CK24-16)/21.2)^3-3)))&lt;=TAN(RADIANS(CN24)),((EXP(('Sıvılaşma Potansiyeli Analizi'!BJ23+CK24)/16+(('Sıvılaşma Potansiyeli Analizi'!BJ23+CK24-16)/21.2)^3-3))),TAN(RADIANS(CN24)))))</f>
        <v>0.10293949741151535</v>
      </c>
      <c r="CV24" s="585"/>
      <c r="CW24" s="585"/>
      <c r="CX24" s="585"/>
      <c r="CY24" s="586">
        <f t="shared" si="1"/>
        <v>0.73713107999999994</v>
      </c>
      <c r="CZ24" s="587"/>
      <c r="DA24" s="587"/>
      <c r="DB24" s="587"/>
      <c r="DC24" s="565">
        <f>IF(E24="","",IF(Z24&gt;=1.1,"-",EXP(-8.444+0.109*'Sıvılaşma Potansiyeli Analizi'!BJ23+5.379*(CY24^0.1))*101.33))</f>
        <v>12.9832962996734</v>
      </c>
      <c r="DD24" s="566"/>
      <c r="DE24" s="566"/>
      <c r="DF24" s="566"/>
      <c r="DG24" s="566"/>
      <c r="DH24" s="566"/>
      <c r="DI24" s="602">
        <f>IF(E24="","",IF(Z24&gt;=1.1,"-",(EXP((0.1292*'Sıvılaşma Potansiyeli Analizi'!BN23)+(4.322*(V24*0.01)^0.12)))*0.04788))</f>
        <v>12.468416963382856</v>
      </c>
      <c r="DJ24" s="566"/>
      <c r="DK24" s="566"/>
      <c r="DL24" s="566"/>
      <c r="DM24" s="566"/>
      <c r="DN24" s="567"/>
      <c r="DO24" s="178">
        <f t="shared" si="6"/>
        <v>0.75</v>
      </c>
      <c r="DP24" s="157"/>
      <c r="DQ24" s="157"/>
      <c r="DR24" s="157"/>
      <c r="DS24" s="157"/>
      <c r="DT24" s="157"/>
      <c r="DU24" s="157"/>
      <c r="DV24" s="157"/>
      <c r="DW24" s="158"/>
      <c r="DX24" s="557"/>
      <c r="DY24" s="557"/>
      <c r="DZ24" s="557"/>
      <c r="EA24" s="557"/>
      <c r="EB24" s="557"/>
      <c r="EC24" s="557"/>
      <c r="ED24" s="557"/>
      <c r="EE24" s="557"/>
      <c r="EF24" s="557"/>
      <c r="EG24" s="557"/>
      <c r="EH24" s="557"/>
      <c r="EI24" s="560"/>
      <c r="EL24" s="49"/>
      <c r="EM24" s="49"/>
      <c r="EN24" s="49"/>
      <c r="EO24" s="49"/>
      <c r="EP24" s="49"/>
      <c r="EQ24" s="49"/>
      <c r="ER24" s="49"/>
      <c r="ES24" s="49"/>
      <c r="ET24" s="49"/>
      <c r="EU24" s="49"/>
      <c r="EV24" s="49"/>
      <c r="EW24" s="49"/>
      <c r="FA24" s="24"/>
      <c r="FB24" s="49"/>
      <c r="FG24" s="79"/>
      <c r="FN24" s="80"/>
      <c r="FO24" s="80"/>
      <c r="FP24" s="80"/>
      <c r="FQ24" s="80"/>
      <c r="FR24" s="80"/>
      <c r="FS24" s="80"/>
      <c r="FT24" s="80"/>
      <c r="FU24" s="80"/>
      <c r="FV24" s="80"/>
      <c r="FW24" s="80"/>
      <c r="FX24" s="80"/>
      <c r="FY24" s="80"/>
      <c r="FZ24" s="80"/>
      <c r="GA24" s="81"/>
      <c r="GB24" s="81"/>
      <c r="GC24" s="81"/>
      <c r="GD24" s="81"/>
      <c r="GE24" s="81"/>
      <c r="GF24" s="81"/>
      <c r="GG24" s="81"/>
      <c r="GH24" s="81"/>
      <c r="GI24" s="81"/>
      <c r="GJ24" s="81"/>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W24" s="24"/>
      <c r="HX24" s="24"/>
      <c r="HY24" s="24"/>
      <c r="HZ24" s="24"/>
      <c r="IA24" s="24"/>
      <c r="IB24" s="24"/>
      <c r="IM24" s="24"/>
      <c r="IN24" s="24"/>
      <c r="IO24" s="24"/>
      <c r="IP24" s="24"/>
      <c r="IQ24" s="24"/>
      <c r="IR24" s="24"/>
      <c r="IS24" s="24"/>
      <c r="IT24" s="24"/>
      <c r="IU24" s="24"/>
      <c r="IV24" s="24"/>
    </row>
    <row r="25" spans="2:256" ht="24.95" customHeight="1">
      <c r="B25" s="593" t="str">
        <f>+IF('Sıvılaşma Potansiyeli Analizi'!B24="","",'Sıvılaşma Potansiyeli Analizi'!B24)</f>
        <v>8 -</v>
      </c>
      <c r="C25" s="594"/>
      <c r="D25" s="594"/>
      <c r="E25" s="595">
        <f>+IF('Sıvılaşma Potansiyeli Analizi'!E24="","",'Sıvılaşma Potansiyeli Analizi'!E24)</f>
        <v>6.4</v>
      </c>
      <c r="F25" s="596"/>
      <c r="G25" s="596"/>
      <c r="H25" s="597"/>
      <c r="I25" s="598">
        <f>+IF('Sıvılaşma Potansiyeli Analizi'!I24="","",'Sıvılaşma Potansiyeli Analizi'!I24)</f>
        <v>15</v>
      </c>
      <c r="J25" s="598"/>
      <c r="K25" s="598"/>
      <c r="L25" s="599" t="str">
        <f>+IF('Sıvılaşma Potansiyeli Analizi'!L24="","",'Sıvılaşma Potansiyeli Analizi'!L24)</f>
        <v>SC</v>
      </c>
      <c r="M25" s="600"/>
      <c r="N25" s="600"/>
      <c r="O25" s="600"/>
      <c r="P25" s="600"/>
      <c r="Q25" s="595" t="str">
        <f>+IF('Sıvılaşma Potansiyeli Analizi'!Q24="","",'Sıvılaşma Potansiyeli Analizi'!Q24)</f>
        <v>-</v>
      </c>
      <c r="R25" s="596"/>
      <c r="S25" s="596"/>
      <c r="T25" s="596"/>
      <c r="U25" s="597"/>
      <c r="V25" s="601">
        <f>+IF('Sıvılaşma Potansiyeli Analizi'!AQ24="","",'Sıvılaşma Potansiyeli Analizi'!AQ24)</f>
        <v>82.835999999999984</v>
      </c>
      <c r="W25" s="601"/>
      <c r="X25" s="601"/>
      <c r="Y25" s="601"/>
      <c r="Z25" s="178">
        <f>+IF('Sıvılaşma Potansiyeli Analizi'!CN24="","",'Sıvılaşma Potansiyeli Analizi'!CN24)</f>
        <v>0.9</v>
      </c>
      <c r="AA25" s="157"/>
      <c r="AB25" s="157"/>
      <c r="AC25" s="158"/>
      <c r="AD25" s="182" t="str">
        <f>+IF('Sıvılaşma Potansiyeli Analizi'!CR24="","",'Sıvılaşma Potansiyeli Analizi'!CR24)</f>
        <v>Sıvılaşma Beklenir</v>
      </c>
      <c r="AE25" s="182"/>
      <c r="AF25" s="182"/>
      <c r="AG25" s="182"/>
      <c r="AH25" s="182"/>
      <c r="AI25" s="182"/>
      <c r="AJ25" s="182"/>
      <c r="AK25" s="182"/>
      <c r="AL25" s="182"/>
      <c r="AM25" s="182"/>
      <c r="AN25" s="183"/>
      <c r="AO25" s="193">
        <f>IF(E25="","",IF(Z25="-","-",IF('Sıvılaşma Potansiyeli Analizi'!BJ24&gt;30,0,MAX(0,MIN(0.5,1.859*(1.1-SQRT('Sıvılaşma Potansiyeli Analizi'!BN24/46))^3)))))</f>
        <v>0.26600665919143934</v>
      </c>
      <c r="AP25" s="592"/>
      <c r="AQ25" s="194"/>
      <c r="AR25" s="194"/>
      <c r="AS25" s="194"/>
      <c r="AT25" s="194">
        <f>IF(E25="","", IF(Z25="-","-",IF('Sıvılaşma Potansiyeli Analizi'!BN24&gt;30,0,0.032+0.69*SQRT(MAX(7,'Sıvılaşma Potansiyeli Analizi'!BN24))-0.13*MAX(7,'Sıvılaşma Potansiyeli Analizi'!BN24))))</f>
        <v>0.7414299477674271</v>
      </c>
      <c r="AU25" s="194"/>
      <c r="AV25" s="194"/>
      <c r="AW25" s="194"/>
      <c r="AX25" s="194"/>
      <c r="AY25" s="194">
        <f t="shared" si="2"/>
        <v>6.2779490015890574E-2</v>
      </c>
      <c r="AZ25" s="194"/>
      <c r="BA25" s="194"/>
      <c r="BB25" s="194"/>
      <c r="BC25" s="194"/>
      <c r="BD25" s="162">
        <f>IF('Sıvılaşma Potansiyeli Analizi'!E24="","",IF('Sıvılaşma Potansiyeli Analizi'!CN24="-","-",IF('Sıvılaşma Potansiyeli Analizi'!CN24&gt;1.1,0,IF('Sıvılaşma Potansiyeli Analizi'!E25="",('Sıvılaşma Potansiyeli Analizi'!$E$33-'Sıvılaşma Potansiyeli Analizi'!E24)+(('Sıvılaşma Potansiyeli Analizi'!E24-'Sıvılaşma Potansiyeli Analizi'!E23)/2),IF(AND(BD24=0,'Sıvılaşma Potansiyeli Analizi'!$BC$8&lt;'Sıvılaşma Potansiyeli Analizi'!E24,'Sıvılaşma Potansiyeli Analizi'!$BC$8&gt;='Sıvılaşma Potansiyeli Analizi'!E23),(('Sıvılaşma Potansiyeli Analizi'!E25-'Sıvılaşma Potansiyeli Analizi'!E24)/2)+('Sıvılaşma Potansiyeli Analizi'!E24-'Sıvılaşma Potansiyeli Analizi'!$BC$8),(('Sıvılaşma Potansiyeli Analizi'!E25-'Sıvılaşma Potansiyeli Analizi'!E24)/2)+(('Sıvılaşma Potansiyeli Analizi'!E24-'Sıvılaşma Potansiyeli Analizi'!E23)/2))))))</f>
        <v>0.80000000000000027</v>
      </c>
      <c r="BE25" s="157"/>
      <c r="BF25" s="157"/>
      <c r="BG25" s="157"/>
      <c r="BH25" s="158"/>
      <c r="BI25" s="194">
        <f t="shared" si="3"/>
        <v>5.0223592012712474E-2</v>
      </c>
      <c r="BJ25" s="194"/>
      <c r="BK25" s="194"/>
      <c r="BL25" s="194"/>
      <c r="BM25" s="194"/>
      <c r="BN25" s="194">
        <f>IF(E25="","",IF(Z25="-","-",IF(Z25&gt;2,0,IF('Sıvılaşma Potansiyeli Analizi'!BN24&gt;30,0,1.5*EXP(-0.369*SQRT('Sıvılaşma Potansiyeli Analizi'!BN24))*MIN(0.08,AY25)))))</f>
        <v>2.2223624029036253E-2</v>
      </c>
      <c r="BO25" s="194"/>
      <c r="BP25" s="194"/>
      <c r="BQ25" s="194"/>
      <c r="BR25" s="194"/>
      <c r="BS25" s="194">
        <f t="shared" si="4"/>
        <v>1.7778899223229009E-2</v>
      </c>
      <c r="BT25" s="194"/>
      <c r="BU25" s="194"/>
      <c r="BV25" s="591"/>
      <c r="BW25" s="193">
        <f>IF(E25="","",IF(Z25="-","-",(0.65*$CE$9*0.4*('Sıvılaşma Potansiyeli Analizi'!AM24/'Sıvılaşma Potansiyeli Analizi'!AQ24)*'Sıvılaşma Potansiyeli Analizi'!CF24)/(2.5-0.2*$AW$9)))</f>
        <v>0.2194018832391714</v>
      </c>
      <c r="BX25" s="194"/>
      <c r="BY25" s="194"/>
      <c r="BZ25" s="194"/>
      <c r="CA25" s="604"/>
      <c r="CB25" s="194">
        <f>IF(E25="","",IF(Z25="-","-",IF((BW25/'Sıvılaşma Potansiyeli Analizi'!BJ24)&gt;0.01,('Sıvılaşma Potansiyeli Analizi'!BJ24^(-0.6)*10*0.01),"-")))</f>
        <v>1.9452414017710674E-2</v>
      </c>
      <c r="CC25" s="194"/>
      <c r="CD25" s="194"/>
      <c r="CE25" s="194"/>
      <c r="CF25" s="194"/>
      <c r="CG25" s="182">
        <f t="shared" si="5"/>
        <v>1.5561931214168545E-2</v>
      </c>
      <c r="CH25" s="158"/>
      <c r="CI25" s="182"/>
      <c r="CJ25" s="183"/>
      <c r="CK25" s="588">
        <f>IF(E25="","",IF(Z25="-","-",IF('Sıvılaşma Potansiyeli Analizi'!AI24&lt;10,1,IF('Sıvılaşma Potansiyeli Analizi'!AI24&lt;25,2,IF('Sıvılaşma Potansiyeli Analizi'!AI24&lt;50,4,5)))))</f>
        <v>1</v>
      </c>
      <c r="CL25" s="589"/>
      <c r="CM25" s="589"/>
      <c r="CN25" s="590">
        <f t="shared" si="0"/>
        <v>38.626718648075851</v>
      </c>
      <c r="CO25" s="589"/>
      <c r="CP25" s="589"/>
      <c r="CQ25" s="584">
        <f>IF(E25="","",IF(Z25&gt;=1.1,"-",IF(((EXP(('Sıvılaşma Potansiyeli Analizi'!BJ24+CK25)/16+(('Sıvılaşma Potansiyeli Analizi'!BJ24+CK25-16)/21.2)^3-3))*(1+EXP(('Sıvılaşma Potansiyeli Analizi'!BJ24+CK25)/2.4-6.6)))&lt;=TAN(RADIANS(CN25)),((EXP(('Sıvılaşma Potansiyeli Analizi'!BJ24+CK25)/16+(('Sıvılaşma Potansiyeli Analizi'!BJ24+CK25-16)/21.2)^3-3))*(1+EXP(('Sıvılaşma Potansiyeli Analizi'!BJ24+CK25)/2.4-6.6))),TAN(RADIANS(CN25)))))</f>
        <v>0.30603259920650006</v>
      </c>
      <c r="CR25" s="585"/>
      <c r="CS25" s="585"/>
      <c r="CT25" s="585"/>
      <c r="CU25" s="584">
        <f>IF(E25="","",IF(Z25&gt;=1.1,"-",IF(((EXP(('Sıvılaşma Potansiyeli Analizi'!BJ24+CK25)/16+(('Sıvılaşma Potansiyeli Analizi'!BJ24+CK25-16)/21.2)^3-3)))&lt;=TAN(RADIANS(CN25)),((EXP(('Sıvılaşma Potansiyeli Analizi'!BJ24+CK25)/16+(('Sıvılaşma Potansiyeli Analizi'!BJ24+CK25-16)/21.2)^3-3))),TAN(RADIANS(CN25)))))</f>
        <v>0.13800438356972583</v>
      </c>
      <c r="CV25" s="585"/>
      <c r="CW25" s="585"/>
      <c r="CX25" s="585"/>
      <c r="CY25" s="586">
        <f t="shared" si="1"/>
        <v>0.81759131999999979</v>
      </c>
      <c r="CZ25" s="587"/>
      <c r="DA25" s="587"/>
      <c r="DB25" s="587"/>
      <c r="DC25" s="565">
        <f>IF(E25="","",IF(Z25&gt;=1.1,"-",EXP(-8.444+0.109*'Sıvılaşma Potansiyeli Analizi'!BJ24+5.379*(CY25^0.1))*101.33))</f>
        <v>22.53775675748351</v>
      </c>
      <c r="DD25" s="566"/>
      <c r="DE25" s="566"/>
      <c r="DF25" s="566"/>
      <c r="DG25" s="566"/>
      <c r="DH25" s="566"/>
      <c r="DI25" s="602">
        <f>IF(E25="","",IF(Z25&gt;=1.1,"-",(EXP((0.1292*'Sıvılaşma Potansiyeli Analizi'!BN24)+(4.322*(V25*0.01)^0.12)))*0.04788))</f>
        <v>23.682589763850117</v>
      </c>
      <c r="DJ25" s="566"/>
      <c r="DK25" s="566"/>
      <c r="DL25" s="566"/>
      <c r="DM25" s="566"/>
      <c r="DN25" s="567"/>
      <c r="DO25" s="178">
        <f t="shared" si="6"/>
        <v>0.80000000000000027</v>
      </c>
      <c r="DP25" s="157"/>
      <c r="DQ25" s="157"/>
      <c r="DR25" s="157"/>
      <c r="DS25" s="157"/>
      <c r="DT25" s="157"/>
      <c r="DU25" s="157"/>
      <c r="DV25" s="157"/>
      <c r="DW25" s="158"/>
      <c r="DX25" s="557"/>
      <c r="DY25" s="557"/>
      <c r="DZ25" s="557"/>
      <c r="EA25" s="557"/>
      <c r="EB25" s="557"/>
      <c r="EC25" s="557"/>
      <c r="ED25" s="557"/>
      <c r="EE25" s="557"/>
      <c r="EF25" s="557"/>
      <c r="EG25" s="557"/>
      <c r="EH25" s="557"/>
      <c r="EI25" s="560"/>
      <c r="EL25" s="49"/>
      <c r="EM25" s="49"/>
      <c r="EN25" s="49"/>
      <c r="EO25" s="49"/>
      <c r="EP25" s="49"/>
      <c r="EQ25" s="49"/>
      <c r="ER25" s="49"/>
      <c r="ES25" s="49"/>
      <c r="ET25" s="49"/>
      <c r="EU25" s="49"/>
      <c r="EV25" s="49"/>
      <c r="EW25" s="49"/>
      <c r="FA25" s="24"/>
      <c r="FB25" s="49"/>
      <c r="FG25" s="79"/>
      <c r="FN25" s="80"/>
      <c r="FO25" s="80"/>
      <c r="FP25" s="80"/>
      <c r="FQ25" s="80"/>
      <c r="FR25" s="80"/>
      <c r="FS25" s="80"/>
      <c r="FT25" s="80"/>
      <c r="FU25" s="80"/>
      <c r="FV25" s="80"/>
      <c r="FW25" s="80"/>
      <c r="FX25" s="80"/>
      <c r="FY25" s="80"/>
      <c r="FZ25" s="80"/>
      <c r="GA25" s="81"/>
      <c r="GB25" s="81"/>
      <c r="GC25" s="81"/>
      <c r="GD25" s="81"/>
      <c r="GE25" s="81"/>
      <c r="GF25" s="81"/>
      <c r="GG25" s="81"/>
      <c r="GH25" s="81"/>
      <c r="GI25" s="81"/>
      <c r="GJ25" s="81"/>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W25" s="24"/>
      <c r="HX25" s="24"/>
      <c r="HY25" s="24"/>
      <c r="HZ25" s="24"/>
      <c r="IA25" s="24"/>
      <c r="IB25" s="24"/>
      <c r="IM25" s="24"/>
      <c r="IN25" s="24"/>
      <c r="IO25" s="24"/>
      <c r="IP25" s="24"/>
      <c r="IQ25" s="24"/>
      <c r="IR25" s="24"/>
      <c r="IS25" s="24"/>
      <c r="IT25" s="24"/>
      <c r="IU25" s="24"/>
      <c r="IV25" s="24"/>
    </row>
    <row r="26" spans="2:256" s="5" customFormat="1" ht="24.95" customHeight="1">
      <c r="B26" s="593" t="str">
        <f>+IF('Sıvılaşma Potansiyeli Analizi'!B25="","",'Sıvılaşma Potansiyeli Analizi'!B25)</f>
        <v>9 -</v>
      </c>
      <c r="C26" s="594"/>
      <c r="D26" s="594"/>
      <c r="E26" s="595">
        <f>+IF('Sıvılaşma Potansiyeli Analizi'!E25="","",'Sıvılaşma Potansiyeli Analizi'!E25)</f>
        <v>7.2</v>
      </c>
      <c r="F26" s="596"/>
      <c r="G26" s="596"/>
      <c r="H26" s="597"/>
      <c r="I26" s="598">
        <f>+IF('Sıvılaşma Potansiyeli Analizi'!I25="","",'Sıvılaşma Potansiyeli Analizi'!I25)</f>
        <v>12</v>
      </c>
      <c r="J26" s="598"/>
      <c r="K26" s="598"/>
      <c r="L26" s="599" t="str">
        <f>+IF('Sıvılaşma Potansiyeli Analizi'!L25="","",'Sıvılaşma Potansiyeli Analizi'!L25)</f>
        <v>SM</v>
      </c>
      <c r="M26" s="600"/>
      <c r="N26" s="600"/>
      <c r="O26" s="600"/>
      <c r="P26" s="600"/>
      <c r="Q26" s="595" t="str">
        <f>+IF('Sıvılaşma Potansiyeli Analizi'!Q25="","",'Sıvılaşma Potansiyeli Analizi'!Q25)</f>
        <v>-</v>
      </c>
      <c r="R26" s="596"/>
      <c r="S26" s="596"/>
      <c r="T26" s="596"/>
      <c r="U26" s="597"/>
      <c r="V26" s="601">
        <f>+IF('Sıvılaşma Potansiyeli Analizi'!AQ25="","",'Sıvılaşma Potansiyeli Analizi'!AQ25)</f>
        <v>90.988</v>
      </c>
      <c r="W26" s="601"/>
      <c r="X26" s="601"/>
      <c r="Y26" s="601"/>
      <c r="Z26" s="178">
        <f>+IF('Sıvılaşma Potansiyeli Analizi'!CN25="","",'Sıvılaşma Potansiyeli Analizi'!CN25)</f>
        <v>0.69000000000000006</v>
      </c>
      <c r="AA26" s="157"/>
      <c r="AB26" s="157"/>
      <c r="AC26" s="158"/>
      <c r="AD26" s="182" t="str">
        <f>+IF('Sıvılaşma Potansiyeli Analizi'!CR25="","",'Sıvılaşma Potansiyeli Analizi'!CR25)</f>
        <v>Sıvılaşma Beklenir</v>
      </c>
      <c r="AE26" s="182"/>
      <c r="AF26" s="182"/>
      <c r="AG26" s="182"/>
      <c r="AH26" s="182"/>
      <c r="AI26" s="182"/>
      <c r="AJ26" s="182"/>
      <c r="AK26" s="182"/>
      <c r="AL26" s="182"/>
      <c r="AM26" s="182"/>
      <c r="AN26" s="183"/>
      <c r="AO26" s="193">
        <f>IF(E26="","",IF(Z26="-","-",IF('Sıvılaşma Potansiyeli Analizi'!BJ25&gt;30,0,MAX(0,MIN(0.5,1.859*(1.1-SQRT('Sıvılaşma Potansiyeli Analizi'!BN25/46))^3)))))</f>
        <v>0.39341396111767485</v>
      </c>
      <c r="AP26" s="592"/>
      <c r="AQ26" s="194"/>
      <c r="AR26" s="194"/>
      <c r="AS26" s="194"/>
      <c r="AT26" s="194">
        <f>IF(E26="","", IF(Z26="-","-",IF('Sıvılaşma Potansiyeli Analizi'!BN25&gt;30,0,0.032+0.69*SQRT(MAX(7,'Sıvılaşma Potansiyeli Analizi'!BN25))-0.13*MAX(7,'Sıvılaşma Potansiyeli Analizi'!BN25))))</f>
        <v>0.87150352096551997</v>
      </c>
      <c r="AU26" s="194"/>
      <c r="AV26" s="194"/>
      <c r="AW26" s="194"/>
      <c r="AX26" s="194"/>
      <c r="AY26" s="194">
        <f t="shared" si="2"/>
        <v>0.39341396111767485</v>
      </c>
      <c r="AZ26" s="194"/>
      <c r="BA26" s="194"/>
      <c r="BB26" s="194"/>
      <c r="BC26" s="194"/>
      <c r="BD26" s="162">
        <f>IF('Sıvılaşma Potansiyeli Analizi'!E25="","",IF('Sıvılaşma Potansiyeli Analizi'!CN25="-","-",IF('Sıvılaşma Potansiyeli Analizi'!CN25&gt;1.1,0,IF('Sıvılaşma Potansiyeli Analizi'!E26="",('Sıvılaşma Potansiyeli Analizi'!$E$33-'Sıvılaşma Potansiyeli Analizi'!E25)+(('Sıvılaşma Potansiyeli Analizi'!E25-'Sıvılaşma Potansiyeli Analizi'!E24)/2),IF(AND(BD25=0,'Sıvılaşma Potansiyeli Analizi'!$BC$8&lt;'Sıvılaşma Potansiyeli Analizi'!E25,'Sıvılaşma Potansiyeli Analizi'!$BC$8&gt;='Sıvılaşma Potansiyeli Analizi'!E24),(('Sıvılaşma Potansiyeli Analizi'!E26-'Sıvılaşma Potansiyeli Analizi'!E25)/2)+('Sıvılaşma Potansiyeli Analizi'!E25-'Sıvılaşma Potansiyeli Analizi'!$BC$8),(('Sıvılaşma Potansiyeli Analizi'!E26-'Sıvılaşma Potansiyeli Analizi'!E25)/2)+(('Sıvılaşma Potansiyeli Analizi'!E25-'Sıvılaşma Potansiyeli Analizi'!E24)/2))))))</f>
        <v>0.75</v>
      </c>
      <c r="BE26" s="157"/>
      <c r="BF26" s="157"/>
      <c r="BG26" s="157"/>
      <c r="BH26" s="158"/>
      <c r="BI26" s="194">
        <f t="shared" si="3"/>
        <v>0.29506047083825615</v>
      </c>
      <c r="BJ26" s="194"/>
      <c r="BK26" s="194"/>
      <c r="BL26" s="194"/>
      <c r="BM26" s="194"/>
      <c r="BN26" s="194">
        <f>IF(E26="","",IF(Z26="-","-",IF(Z26&gt;2,0,IF('Sıvılaşma Potansiyeli Analizi'!BN25&gt;30,0,1.5*EXP(-0.369*SQRT('Sıvılaşma Potansiyeli Analizi'!BN25))*MIN(0.08,AY26)))))</f>
        <v>3.3985989332934237E-2</v>
      </c>
      <c r="BO26" s="194"/>
      <c r="BP26" s="194"/>
      <c r="BQ26" s="194"/>
      <c r="BR26" s="194"/>
      <c r="BS26" s="194">
        <f t="shared" si="4"/>
        <v>2.5489491999700679E-2</v>
      </c>
      <c r="BT26" s="194"/>
      <c r="BU26" s="194"/>
      <c r="BV26" s="591"/>
      <c r="BW26" s="193">
        <f>IF(E26="","",IF(Z26="-","-",(0.65*$CE$9*0.4*('Sıvılaşma Potansiyeli Analizi'!AM25/'Sıvılaşma Potansiyeli Analizi'!AQ25)*'Sıvılaşma Potansiyeli Analizi'!CF25)/(2.5-0.2*$AW$9)))</f>
        <v>0.22366056036693482</v>
      </c>
      <c r="BX26" s="194"/>
      <c r="BY26" s="194"/>
      <c r="BZ26" s="194"/>
      <c r="CA26" s="604"/>
      <c r="CB26" s="194">
        <f>IF(E26="","",IF(Z26="-","-",IF((BW26/'Sıvılaşma Potansiyeli Analizi'!BJ25)&gt;0.01,('Sıvılaşma Potansiyeli Analizi'!BJ25^(-0.6)*10*0.01),"-")))</f>
        <v>2.2874363170353521E-2</v>
      </c>
      <c r="CC26" s="194"/>
      <c r="CD26" s="194"/>
      <c r="CE26" s="194"/>
      <c r="CF26" s="194"/>
      <c r="CG26" s="182">
        <f t="shared" si="5"/>
        <v>1.7155772377765142E-2</v>
      </c>
      <c r="CH26" s="158"/>
      <c r="CI26" s="182"/>
      <c r="CJ26" s="183"/>
      <c r="CK26" s="588">
        <f>IF(E26="","",IF(Z26="-","-",IF('Sıvılaşma Potansiyeli Analizi'!AI25&lt;10,1,IF('Sıvılaşma Potansiyeli Analizi'!AI25&lt;25,2,IF('Sıvılaşma Potansiyeli Analizi'!AI25&lt;50,4,5)))))</f>
        <v>1</v>
      </c>
      <c r="CL26" s="589"/>
      <c r="CM26" s="589"/>
      <c r="CN26" s="590">
        <f t="shared" si="0"/>
        <v>36.010990958766683</v>
      </c>
      <c r="CO26" s="589"/>
      <c r="CP26" s="589"/>
      <c r="CQ26" s="584">
        <f>IF(E26="","",IF(Z26&gt;=1.1,"-",IF(((EXP(('Sıvılaşma Potansiyeli Analizi'!BJ25+CK26)/16+(('Sıvılaşma Potansiyeli Analizi'!BJ25+CK26-16)/21.2)^3-3))*(1+EXP(('Sıvılaşma Potansiyeli Analizi'!BJ25+CK26)/2.4-6.6)))&lt;=TAN(RADIANS(CN26)),((EXP(('Sıvılaşma Potansiyeli Analizi'!BJ25+CK26)/16+(('Sıvılaşma Potansiyeli Analizi'!BJ25+CK26-16)/21.2)^3-3))*(1+EXP(('Sıvılaşma Potansiyeli Analizi'!BJ25+CK26)/2.4-6.6))),TAN(RADIANS(CN26)))))</f>
        <v>0.13909507071122737</v>
      </c>
      <c r="CR26" s="585"/>
      <c r="CS26" s="585"/>
      <c r="CT26" s="585"/>
      <c r="CU26" s="584">
        <f>IF(E26="","",IF(Z26&gt;=1.1,"-",IF(((EXP(('Sıvılaşma Potansiyeli Analizi'!BJ25+CK26)/16+(('Sıvılaşma Potansiyeli Analizi'!BJ25+CK26-16)/21.2)^3-3)))&lt;=TAN(RADIANS(CN26)),((EXP(('Sıvılaşma Potansiyeli Analizi'!BJ25+CK26)/16+(('Sıvılaşma Potansiyeli Analizi'!BJ25+CK26-16)/21.2)^3-3))),TAN(RADIANS(CN26)))))</f>
        <v>0.10961372793136996</v>
      </c>
      <c r="CV26" s="585"/>
      <c r="CW26" s="585"/>
      <c r="CX26" s="585"/>
      <c r="CY26" s="586">
        <f t="shared" si="1"/>
        <v>0.89805155999999986</v>
      </c>
      <c r="CZ26" s="587"/>
      <c r="DA26" s="587"/>
      <c r="DB26" s="587"/>
      <c r="DC26" s="565">
        <f>IF(E26="","",IF(Z26&gt;=1.1,"-",EXP(-8.444+0.109*'Sıvılaşma Potansiyeli Analizi'!BJ25+5.379*(CY26^0.1))*101.33))</f>
        <v>15.956698997520196</v>
      </c>
      <c r="DD26" s="566"/>
      <c r="DE26" s="566"/>
      <c r="DF26" s="566"/>
      <c r="DG26" s="566"/>
      <c r="DH26" s="566"/>
      <c r="DI26" s="602">
        <f>IF(E26="","",IF(Z26&gt;=1.1,"-",(EXP((0.1292*'Sıvılaşma Potansiyeli Analizi'!BN25)+(4.322*(V26*0.01)^0.12)))*0.04788))</f>
        <v>15.554761813682653</v>
      </c>
      <c r="DJ26" s="566"/>
      <c r="DK26" s="566"/>
      <c r="DL26" s="566"/>
      <c r="DM26" s="566"/>
      <c r="DN26" s="567"/>
      <c r="DO26" s="178">
        <f t="shared" si="6"/>
        <v>0.75</v>
      </c>
      <c r="DP26" s="157"/>
      <c r="DQ26" s="157"/>
      <c r="DR26" s="157"/>
      <c r="DS26" s="157"/>
      <c r="DT26" s="157"/>
      <c r="DU26" s="157"/>
      <c r="DV26" s="157"/>
      <c r="DW26" s="158"/>
      <c r="DX26" s="557"/>
      <c r="DY26" s="557"/>
      <c r="DZ26" s="557"/>
      <c r="EA26" s="557"/>
      <c r="EB26" s="557"/>
      <c r="EC26" s="557"/>
      <c r="ED26" s="557"/>
      <c r="EE26" s="557"/>
      <c r="EF26" s="557"/>
      <c r="EG26" s="557"/>
      <c r="EH26" s="557"/>
      <c r="EI26" s="560"/>
      <c r="EL26" s="49"/>
      <c r="EM26" s="49"/>
      <c r="EN26" s="49"/>
      <c r="EO26" s="49"/>
      <c r="EP26" s="49"/>
      <c r="EQ26" s="49"/>
      <c r="ER26" s="49"/>
      <c r="ES26" s="49"/>
      <c r="ET26" s="49"/>
      <c r="EU26" s="49"/>
      <c r="EV26" s="49"/>
      <c r="EW26" s="49"/>
      <c r="FA26" s="24"/>
      <c r="FB26" s="49"/>
      <c r="FG26" s="79"/>
      <c r="FN26" s="80"/>
      <c r="FO26" s="80"/>
      <c r="FP26" s="80"/>
      <c r="FQ26" s="80"/>
      <c r="FR26" s="80"/>
      <c r="FS26" s="80"/>
      <c r="FT26" s="80"/>
      <c r="FU26" s="80"/>
      <c r="FV26" s="80"/>
      <c r="FW26" s="80"/>
      <c r="FX26" s="80"/>
      <c r="FY26" s="80"/>
      <c r="FZ26" s="80"/>
      <c r="GA26" s="81"/>
      <c r="GB26" s="81"/>
      <c r="GC26" s="81"/>
      <c r="GD26" s="81"/>
      <c r="GE26" s="81"/>
      <c r="GF26" s="81"/>
      <c r="GG26" s="81"/>
      <c r="GH26" s="81"/>
      <c r="GI26" s="81"/>
      <c r="GJ26" s="81"/>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W26" s="24"/>
      <c r="HX26" s="24"/>
      <c r="HY26" s="24"/>
      <c r="HZ26" s="24"/>
      <c r="IA26" s="24"/>
      <c r="IB26" s="24"/>
      <c r="IM26" s="24"/>
      <c r="IN26" s="24"/>
      <c r="IO26" s="24"/>
      <c r="IP26" s="24"/>
      <c r="IQ26" s="24"/>
      <c r="IR26" s="24"/>
      <c r="IS26" s="24"/>
      <c r="IT26" s="24"/>
      <c r="IU26" s="24"/>
      <c r="IV26" s="24"/>
    </row>
    <row r="27" spans="2:256" ht="24.95" customHeight="1">
      <c r="B27" s="593" t="str">
        <f>+IF('Sıvılaşma Potansiyeli Analizi'!B26="","",'Sıvılaşma Potansiyeli Analizi'!B26)</f>
        <v>10 -</v>
      </c>
      <c r="C27" s="594"/>
      <c r="D27" s="594"/>
      <c r="E27" s="595">
        <f>+IF('Sıvılaşma Potansiyeli Analizi'!E26="","",'Sıvılaşma Potansiyeli Analizi'!E26)</f>
        <v>7.9</v>
      </c>
      <c r="F27" s="596"/>
      <c r="G27" s="596"/>
      <c r="H27" s="597"/>
      <c r="I27" s="598">
        <f>+IF('Sıvılaşma Potansiyeli Analizi'!I26="","",'Sıvılaşma Potansiyeli Analizi'!I26)</f>
        <v>40</v>
      </c>
      <c r="J27" s="598"/>
      <c r="K27" s="598"/>
      <c r="L27" s="599" t="str">
        <f>+IF('Sıvılaşma Potansiyeli Analizi'!L26="","",'Sıvılaşma Potansiyeli Analizi'!L26)</f>
        <v>SW-SM</v>
      </c>
      <c r="M27" s="600"/>
      <c r="N27" s="600"/>
      <c r="O27" s="600"/>
      <c r="P27" s="600"/>
      <c r="Q27" s="595" t="str">
        <f>+IF('Sıvılaşma Potansiyeli Analizi'!Q26="","",'Sıvılaşma Potansiyeli Analizi'!Q26)</f>
        <v>-</v>
      </c>
      <c r="R27" s="596"/>
      <c r="S27" s="596"/>
      <c r="T27" s="596"/>
      <c r="U27" s="597"/>
      <c r="V27" s="601">
        <f>+IF('Sıvılaşma Potansiyeli Analizi'!AQ26="","",'Sıvılaşma Potansiyeli Analizi'!AQ26)</f>
        <v>98.120999999999995</v>
      </c>
      <c r="W27" s="601"/>
      <c r="X27" s="601"/>
      <c r="Y27" s="601"/>
      <c r="Z27" s="178" t="str">
        <f>+IF('Sıvılaşma Potansiyeli Analizi'!CN26="","",'Sıvılaşma Potansiyeli Analizi'!CN26)</f>
        <v>-</v>
      </c>
      <c r="AA27" s="157"/>
      <c r="AB27" s="157"/>
      <c r="AC27" s="158"/>
      <c r="AD27" s="182" t="str">
        <f>+IF('Sıvılaşma Potansiyeli Analizi'!CR26="","",'Sıvılaşma Potansiyeli Analizi'!CR26)</f>
        <v>-</v>
      </c>
      <c r="AE27" s="182"/>
      <c r="AF27" s="182"/>
      <c r="AG27" s="182"/>
      <c r="AH27" s="182"/>
      <c r="AI27" s="182"/>
      <c r="AJ27" s="182"/>
      <c r="AK27" s="182"/>
      <c r="AL27" s="182"/>
      <c r="AM27" s="182"/>
      <c r="AN27" s="183"/>
      <c r="AO27" s="193" t="str">
        <f>IF(E27="","",IF(Z27="-","-",IF('Sıvılaşma Potansiyeli Analizi'!BJ26&gt;30,0,MAX(0,MIN(0.5,1.859*(1.1-SQRT('Sıvılaşma Potansiyeli Analizi'!BN26/46))^3)))))</f>
        <v>-</v>
      </c>
      <c r="AP27" s="592"/>
      <c r="AQ27" s="194"/>
      <c r="AR27" s="194"/>
      <c r="AS27" s="194"/>
      <c r="AT27" s="194" t="str">
        <f>IF(E27="","", IF(Z27="-","-",IF('Sıvılaşma Potansiyeli Analizi'!BN26&gt;30,0,0.032+0.69*SQRT(MAX(7,'Sıvılaşma Potansiyeli Analizi'!BN26))-0.13*MAX(7,'Sıvılaşma Potansiyeli Analizi'!BN26))))</f>
        <v>-</v>
      </c>
      <c r="AU27" s="194"/>
      <c r="AV27" s="194"/>
      <c r="AW27" s="194"/>
      <c r="AX27" s="194"/>
      <c r="AY27" s="194" t="str">
        <f t="shared" si="2"/>
        <v>-</v>
      </c>
      <c r="AZ27" s="194"/>
      <c r="BA27" s="194"/>
      <c r="BB27" s="194"/>
      <c r="BC27" s="194"/>
      <c r="BD27" s="162" t="str">
        <f>IF('Sıvılaşma Potansiyeli Analizi'!E26="","",IF('Sıvılaşma Potansiyeli Analizi'!CN26="-","-",IF('Sıvılaşma Potansiyeli Analizi'!CN26&gt;1.1,0,IF('Sıvılaşma Potansiyeli Analizi'!E27="",('Sıvılaşma Potansiyeli Analizi'!$E$33-'Sıvılaşma Potansiyeli Analizi'!E26)+(('Sıvılaşma Potansiyeli Analizi'!E26-'Sıvılaşma Potansiyeli Analizi'!E25)/2),IF(AND(BD26=0,'Sıvılaşma Potansiyeli Analizi'!$BC$8&lt;'Sıvılaşma Potansiyeli Analizi'!E26,'Sıvılaşma Potansiyeli Analizi'!$BC$8&gt;='Sıvılaşma Potansiyeli Analizi'!E25),(('Sıvılaşma Potansiyeli Analizi'!E27-'Sıvılaşma Potansiyeli Analizi'!E26)/2)+('Sıvılaşma Potansiyeli Analizi'!E26-'Sıvılaşma Potansiyeli Analizi'!$BC$8),(('Sıvılaşma Potansiyeli Analizi'!E27-'Sıvılaşma Potansiyeli Analizi'!E26)/2)+(('Sıvılaşma Potansiyeli Analizi'!E26-'Sıvılaşma Potansiyeli Analizi'!E25)/2))))))</f>
        <v>-</v>
      </c>
      <c r="BE27" s="157"/>
      <c r="BF27" s="157"/>
      <c r="BG27" s="157"/>
      <c r="BH27" s="158"/>
      <c r="BI27" s="194" t="str">
        <f t="shared" si="3"/>
        <v>-</v>
      </c>
      <c r="BJ27" s="194"/>
      <c r="BK27" s="194"/>
      <c r="BL27" s="194"/>
      <c r="BM27" s="194"/>
      <c r="BN27" s="194" t="str">
        <f>IF(E27="","",IF(Z27="-","-",IF(Z27&gt;2,0,IF('Sıvılaşma Potansiyeli Analizi'!BN26&gt;30,0,1.5*EXP(-0.369*SQRT('Sıvılaşma Potansiyeli Analizi'!BN26))*MIN(0.08,AY27)))))</f>
        <v>-</v>
      </c>
      <c r="BO27" s="194"/>
      <c r="BP27" s="194"/>
      <c r="BQ27" s="194"/>
      <c r="BR27" s="194"/>
      <c r="BS27" s="194" t="str">
        <f t="shared" si="4"/>
        <v>-</v>
      </c>
      <c r="BT27" s="194"/>
      <c r="BU27" s="194"/>
      <c r="BV27" s="591"/>
      <c r="BW27" s="193" t="str">
        <f>IF(E27="","",IF(Z27="-","-",(0.65*$CE$9*0.4*('Sıvılaşma Potansiyeli Analizi'!AM26/'Sıvılaşma Potansiyeli Analizi'!AQ26)*'Sıvılaşma Potansiyeli Analizi'!CF26)/(2.5-0.2*$AW$9)))</f>
        <v>-</v>
      </c>
      <c r="BX27" s="194"/>
      <c r="BY27" s="194"/>
      <c r="BZ27" s="194"/>
      <c r="CA27" s="604"/>
      <c r="CB27" s="194" t="str">
        <f>IF(E27="","",IF(Z27="-","-",IF((BW27/'Sıvılaşma Potansiyeli Analizi'!BJ26)&gt;0.01,('Sıvılaşma Potansiyeli Analizi'!BJ26^(-0.6)*10*0.01),"-")))</f>
        <v>-</v>
      </c>
      <c r="CC27" s="194"/>
      <c r="CD27" s="194"/>
      <c r="CE27" s="194"/>
      <c r="CF27" s="194"/>
      <c r="CG27" s="182" t="str">
        <f t="shared" si="5"/>
        <v>-</v>
      </c>
      <c r="CH27" s="158"/>
      <c r="CI27" s="182"/>
      <c r="CJ27" s="183"/>
      <c r="CK27" s="588" t="str">
        <f>IF(E27="","",IF(Z27="-","-",IF('Sıvılaşma Potansiyeli Analizi'!AI26&lt;10,1,IF('Sıvılaşma Potansiyeli Analizi'!AI26&lt;25,2,IF('Sıvılaşma Potansiyeli Analizi'!AI26&lt;50,4,5)))))</f>
        <v>-</v>
      </c>
      <c r="CL27" s="589"/>
      <c r="CM27" s="589"/>
      <c r="CN27" s="590" t="str">
        <f t="shared" si="0"/>
        <v>-</v>
      </c>
      <c r="CO27" s="589"/>
      <c r="CP27" s="589"/>
      <c r="CQ27" s="584" t="str">
        <f>IF(E27="","",IF(Z27&gt;=1.1,"-",IF(((EXP(('Sıvılaşma Potansiyeli Analizi'!BJ26+CK27)/16+(('Sıvılaşma Potansiyeli Analizi'!BJ26+CK27-16)/21.2)^3-3))*(1+EXP(('Sıvılaşma Potansiyeli Analizi'!BJ26+CK27)/2.4-6.6)))&lt;=TAN(RADIANS(CN27)),((EXP(('Sıvılaşma Potansiyeli Analizi'!BJ26+CK27)/16+(('Sıvılaşma Potansiyeli Analizi'!BJ26+CK27-16)/21.2)^3-3))*(1+EXP(('Sıvılaşma Potansiyeli Analizi'!BJ26+CK27)/2.4-6.6))),TAN(RADIANS(CN27)))))</f>
        <v>-</v>
      </c>
      <c r="CR27" s="585"/>
      <c r="CS27" s="585"/>
      <c r="CT27" s="585"/>
      <c r="CU27" s="584" t="str">
        <f>IF(E27="","",IF(Z27&gt;=1.1,"-",IF(((EXP(('Sıvılaşma Potansiyeli Analizi'!BJ26+CK27)/16+(('Sıvılaşma Potansiyeli Analizi'!BJ26+CK27-16)/21.2)^3-3)))&lt;=TAN(RADIANS(CN27)),((EXP(('Sıvılaşma Potansiyeli Analizi'!BJ26+CK27)/16+(('Sıvılaşma Potansiyeli Analizi'!BJ26+CK27-16)/21.2)^3-3))),TAN(RADIANS(CN27)))))</f>
        <v>-</v>
      </c>
      <c r="CV27" s="585"/>
      <c r="CW27" s="585"/>
      <c r="CX27" s="585"/>
      <c r="CY27" s="586" t="str">
        <f t="shared" si="1"/>
        <v>-</v>
      </c>
      <c r="CZ27" s="587"/>
      <c r="DA27" s="587"/>
      <c r="DB27" s="587"/>
      <c r="DC27" s="565" t="str">
        <f>IF(E27="","",IF(Z27&gt;=1.1,"-",EXP(-8.444+0.109*'Sıvılaşma Potansiyeli Analizi'!BJ26+5.379*(CY27^0.1))*101.33))</f>
        <v>-</v>
      </c>
      <c r="DD27" s="566"/>
      <c r="DE27" s="566"/>
      <c r="DF27" s="566"/>
      <c r="DG27" s="566"/>
      <c r="DH27" s="566"/>
      <c r="DI27" s="602" t="str">
        <f>IF(E27="","",IF(Z27&gt;=1.1,"-",(EXP((0.1292*'Sıvılaşma Potansiyeli Analizi'!BN26)+(4.322*(V27*0.01)^0.12)))*0.04788))</f>
        <v>-</v>
      </c>
      <c r="DJ27" s="566"/>
      <c r="DK27" s="566"/>
      <c r="DL27" s="566"/>
      <c r="DM27" s="566"/>
      <c r="DN27" s="567"/>
      <c r="DO27" s="178" t="str">
        <f t="shared" si="6"/>
        <v>-</v>
      </c>
      <c r="DP27" s="157"/>
      <c r="DQ27" s="157"/>
      <c r="DR27" s="157"/>
      <c r="DS27" s="157"/>
      <c r="DT27" s="157"/>
      <c r="DU27" s="157"/>
      <c r="DV27" s="157"/>
      <c r="DW27" s="158"/>
      <c r="DX27" s="557"/>
      <c r="DY27" s="557"/>
      <c r="DZ27" s="557"/>
      <c r="EA27" s="557"/>
      <c r="EB27" s="557"/>
      <c r="EC27" s="557"/>
      <c r="ED27" s="557"/>
      <c r="EE27" s="557"/>
      <c r="EF27" s="557"/>
      <c r="EG27" s="557"/>
      <c r="EH27" s="557"/>
      <c r="EI27" s="560"/>
      <c r="EL27" s="49"/>
      <c r="EM27" s="49"/>
      <c r="EN27" s="49"/>
      <c r="EO27" s="49"/>
      <c r="EP27" s="49"/>
      <c r="EQ27" s="49"/>
      <c r="ER27" s="49"/>
      <c r="ES27" s="49"/>
      <c r="ET27" s="49"/>
      <c r="EU27" s="49"/>
      <c r="EV27" s="49"/>
      <c r="EW27" s="49"/>
      <c r="FA27" s="24"/>
      <c r="FB27" s="49"/>
      <c r="FG27" s="79"/>
      <c r="FN27" s="80"/>
      <c r="FO27" s="80"/>
      <c r="FP27" s="80"/>
      <c r="FQ27" s="80"/>
      <c r="FR27" s="80"/>
      <c r="FS27" s="80"/>
      <c r="FT27" s="80"/>
      <c r="FU27" s="80"/>
      <c r="FV27" s="80"/>
      <c r="FW27" s="80"/>
      <c r="FX27" s="80"/>
      <c r="FY27" s="80"/>
      <c r="FZ27" s="80"/>
      <c r="GA27" s="81"/>
      <c r="GB27" s="81"/>
      <c r="GC27" s="81"/>
      <c r="GD27" s="81"/>
      <c r="GE27" s="81"/>
      <c r="GF27" s="81"/>
      <c r="GG27" s="81"/>
      <c r="GH27" s="81"/>
      <c r="GI27" s="81"/>
      <c r="GJ27" s="81"/>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W27" s="24"/>
      <c r="HX27" s="24"/>
      <c r="HY27" s="24"/>
      <c r="HZ27" s="24"/>
      <c r="IA27" s="24"/>
      <c r="IB27" s="24"/>
      <c r="IM27" s="24"/>
      <c r="IN27" s="24"/>
      <c r="IO27" s="24"/>
      <c r="IP27" s="24"/>
      <c r="IQ27" s="24"/>
      <c r="IR27" s="24"/>
      <c r="IS27" s="24"/>
      <c r="IT27" s="24"/>
      <c r="IU27" s="24"/>
      <c r="IV27" s="24"/>
    </row>
    <row r="28" spans="2:256" ht="24.95" customHeight="1">
      <c r="B28" s="593" t="str">
        <f>+IF('Sıvılaşma Potansiyeli Analizi'!B27="","",'Sıvılaşma Potansiyeli Analizi'!B27)</f>
        <v>11 -</v>
      </c>
      <c r="C28" s="594"/>
      <c r="D28" s="594"/>
      <c r="E28" s="595">
        <f>+IF('Sıvılaşma Potansiyeli Analizi'!E27="","",'Sıvılaşma Potansiyeli Analizi'!E27)</f>
        <v>8.6999999999999993</v>
      </c>
      <c r="F28" s="596"/>
      <c r="G28" s="596"/>
      <c r="H28" s="597"/>
      <c r="I28" s="598" t="str">
        <f>+IF('Sıvılaşma Potansiyeli Analizi'!I27="","",'Sıvılaşma Potansiyeli Analizi'!I27)</f>
        <v>r</v>
      </c>
      <c r="J28" s="598"/>
      <c r="K28" s="598"/>
      <c r="L28" s="599" t="str">
        <f>+IF('Sıvılaşma Potansiyeli Analizi'!L27="","",'Sıvılaşma Potansiyeli Analizi'!L27)</f>
        <v/>
      </c>
      <c r="M28" s="600"/>
      <c r="N28" s="600"/>
      <c r="O28" s="600"/>
      <c r="P28" s="600"/>
      <c r="Q28" s="595" t="str">
        <f>+IF('Sıvılaşma Potansiyeli Analizi'!Q27="","",'Sıvılaşma Potansiyeli Analizi'!Q27)</f>
        <v/>
      </c>
      <c r="R28" s="596"/>
      <c r="S28" s="596"/>
      <c r="T28" s="596"/>
      <c r="U28" s="597"/>
      <c r="V28" s="601">
        <f>+IF('Sıvılaşma Potansiyeli Analizi'!AQ27="","",'Sıvılaşma Potansiyeli Analizi'!AQ27)</f>
        <v>106.27300000000001</v>
      </c>
      <c r="W28" s="601"/>
      <c r="X28" s="601"/>
      <c r="Y28" s="601"/>
      <c r="Z28" s="178" t="str">
        <f>+IF('Sıvılaşma Potansiyeli Analizi'!CN27="","",'Sıvılaşma Potansiyeli Analizi'!CN27)</f>
        <v>-</v>
      </c>
      <c r="AA28" s="157"/>
      <c r="AB28" s="157"/>
      <c r="AC28" s="158"/>
      <c r="AD28" s="182" t="str">
        <f>+IF('Sıvılaşma Potansiyeli Analizi'!CR27="","",'Sıvılaşma Potansiyeli Analizi'!CR27)</f>
        <v>-</v>
      </c>
      <c r="AE28" s="182"/>
      <c r="AF28" s="182"/>
      <c r="AG28" s="182"/>
      <c r="AH28" s="182"/>
      <c r="AI28" s="182"/>
      <c r="AJ28" s="182"/>
      <c r="AK28" s="182"/>
      <c r="AL28" s="182"/>
      <c r="AM28" s="182"/>
      <c r="AN28" s="183"/>
      <c r="AO28" s="193" t="str">
        <f>IF(E28="","",IF(Z28="-","-",IF('Sıvılaşma Potansiyeli Analizi'!BJ27&gt;30,0,MAX(0,MIN(0.5,1.859*(1.1-SQRT('Sıvılaşma Potansiyeli Analizi'!BN27/46))^3)))))</f>
        <v>-</v>
      </c>
      <c r="AP28" s="592"/>
      <c r="AQ28" s="194"/>
      <c r="AR28" s="194"/>
      <c r="AS28" s="194"/>
      <c r="AT28" s="194" t="str">
        <f>IF(E28="","", IF(Z28="-","-",IF('Sıvılaşma Potansiyeli Analizi'!BN27&gt;30,0,0.032+0.69*SQRT(MAX(7,'Sıvılaşma Potansiyeli Analizi'!BN27))-0.13*MAX(7,'Sıvılaşma Potansiyeli Analizi'!BN27))))</f>
        <v>-</v>
      </c>
      <c r="AU28" s="194"/>
      <c r="AV28" s="194"/>
      <c r="AW28" s="194"/>
      <c r="AX28" s="194"/>
      <c r="AY28" s="194" t="str">
        <f t="shared" si="2"/>
        <v>-</v>
      </c>
      <c r="AZ28" s="194"/>
      <c r="BA28" s="194"/>
      <c r="BB28" s="194"/>
      <c r="BC28" s="194"/>
      <c r="BD28" s="162" t="str">
        <f>IF('Sıvılaşma Potansiyeli Analizi'!E27="","",IF('Sıvılaşma Potansiyeli Analizi'!CN27="-","-",IF('Sıvılaşma Potansiyeli Analizi'!CN27&gt;1.1,0,IF('Sıvılaşma Potansiyeli Analizi'!E28="",('Sıvılaşma Potansiyeli Analizi'!$E$33-'Sıvılaşma Potansiyeli Analizi'!E27)+(('Sıvılaşma Potansiyeli Analizi'!E27-'Sıvılaşma Potansiyeli Analizi'!E26)/2),IF(AND(BD27=0,'Sıvılaşma Potansiyeli Analizi'!$BC$8&lt;'Sıvılaşma Potansiyeli Analizi'!E27,'Sıvılaşma Potansiyeli Analizi'!$BC$8&gt;='Sıvılaşma Potansiyeli Analizi'!E26),(('Sıvılaşma Potansiyeli Analizi'!E28-'Sıvılaşma Potansiyeli Analizi'!E27)/2)+('Sıvılaşma Potansiyeli Analizi'!E27-'Sıvılaşma Potansiyeli Analizi'!$BC$8),(('Sıvılaşma Potansiyeli Analizi'!E28-'Sıvılaşma Potansiyeli Analizi'!E27)/2)+(('Sıvılaşma Potansiyeli Analizi'!E27-'Sıvılaşma Potansiyeli Analizi'!E26)/2))))))</f>
        <v>-</v>
      </c>
      <c r="BE28" s="157"/>
      <c r="BF28" s="157"/>
      <c r="BG28" s="157"/>
      <c r="BH28" s="158"/>
      <c r="BI28" s="194" t="str">
        <f t="shared" si="3"/>
        <v>-</v>
      </c>
      <c r="BJ28" s="194"/>
      <c r="BK28" s="194"/>
      <c r="BL28" s="194"/>
      <c r="BM28" s="194"/>
      <c r="BN28" s="194" t="str">
        <f>IF(E28="","",IF(Z28="-","-",IF(Z28&gt;2,0,IF('Sıvılaşma Potansiyeli Analizi'!BN27&gt;30,0,1.5*EXP(-0.369*SQRT('Sıvılaşma Potansiyeli Analizi'!BN27))*MIN(0.08,AY28)))))</f>
        <v>-</v>
      </c>
      <c r="BO28" s="194"/>
      <c r="BP28" s="194"/>
      <c r="BQ28" s="194"/>
      <c r="BR28" s="194"/>
      <c r="BS28" s="194" t="str">
        <f t="shared" si="4"/>
        <v>-</v>
      </c>
      <c r="BT28" s="194"/>
      <c r="BU28" s="194"/>
      <c r="BV28" s="591"/>
      <c r="BW28" s="193" t="str">
        <f>IF(E28="","",IF(Z28="-","-",(0.65*$CE$9*0.4*('Sıvılaşma Potansiyeli Analizi'!AM27/'Sıvılaşma Potansiyeli Analizi'!AQ27)*'Sıvılaşma Potansiyeli Analizi'!CF27)/(2.5-0.2*$AW$9)))</f>
        <v>-</v>
      </c>
      <c r="BX28" s="194"/>
      <c r="BY28" s="194"/>
      <c r="BZ28" s="194"/>
      <c r="CA28" s="604"/>
      <c r="CB28" s="194" t="str">
        <f>IF(E28="","",IF(Z28="-","-",IF((BW28/'Sıvılaşma Potansiyeli Analizi'!BJ27)&gt;0.01,('Sıvılaşma Potansiyeli Analizi'!BJ27^(-0.6)*10*0.01),"-")))</f>
        <v>-</v>
      </c>
      <c r="CC28" s="194"/>
      <c r="CD28" s="194"/>
      <c r="CE28" s="194"/>
      <c r="CF28" s="194"/>
      <c r="CG28" s="182" t="str">
        <f t="shared" si="5"/>
        <v>-</v>
      </c>
      <c r="CH28" s="158"/>
      <c r="CI28" s="182"/>
      <c r="CJ28" s="183"/>
      <c r="CK28" s="588" t="str">
        <f>IF(E28="","",IF(Z28="-","-",IF('Sıvılaşma Potansiyeli Analizi'!AI27&lt;10,1,IF('Sıvılaşma Potansiyeli Analizi'!AI27&lt;25,2,IF('Sıvılaşma Potansiyeli Analizi'!AI27&lt;50,4,5)))))</f>
        <v>-</v>
      </c>
      <c r="CL28" s="589"/>
      <c r="CM28" s="589"/>
      <c r="CN28" s="590" t="str">
        <f t="shared" si="0"/>
        <v>-</v>
      </c>
      <c r="CO28" s="589"/>
      <c r="CP28" s="589"/>
      <c r="CQ28" s="584" t="str">
        <f>IF(E28="","",IF(Z28&gt;=1.1,"-",IF(((EXP(('Sıvılaşma Potansiyeli Analizi'!BJ27+CK28)/16+(('Sıvılaşma Potansiyeli Analizi'!BJ27+CK28-16)/21.2)^3-3))*(1+EXP(('Sıvılaşma Potansiyeli Analizi'!BJ27+CK28)/2.4-6.6)))&lt;=TAN(RADIANS(CN28)),((EXP(('Sıvılaşma Potansiyeli Analizi'!BJ27+CK28)/16+(('Sıvılaşma Potansiyeli Analizi'!BJ27+CK28-16)/21.2)^3-3))*(1+EXP(('Sıvılaşma Potansiyeli Analizi'!BJ27+CK28)/2.4-6.6))),TAN(RADIANS(CN28)))))</f>
        <v>-</v>
      </c>
      <c r="CR28" s="585"/>
      <c r="CS28" s="585"/>
      <c r="CT28" s="585"/>
      <c r="CU28" s="584" t="str">
        <f>IF(E28="","",IF(Z28&gt;=1.1,"-",IF(((EXP(('Sıvılaşma Potansiyeli Analizi'!BJ27+CK28)/16+(('Sıvılaşma Potansiyeli Analizi'!BJ27+CK28-16)/21.2)^3-3)))&lt;=TAN(RADIANS(CN28)),((EXP(('Sıvılaşma Potansiyeli Analizi'!BJ27+CK28)/16+(('Sıvılaşma Potansiyeli Analizi'!BJ27+CK28-16)/21.2)^3-3))),TAN(RADIANS(CN28)))))</f>
        <v>-</v>
      </c>
      <c r="CV28" s="585"/>
      <c r="CW28" s="585"/>
      <c r="CX28" s="585"/>
      <c r="CY28" s="586" t="str">
        <f t="shared" si="1"/>
        <v>-</v>
      </c>
      <c r="CZ28" s="587"/>
      <c r="DA28" s="587"/>
      <c r="DB28" s="587"/>
      <c r="DC28" s="565" t="str">
        <f>IF(E28="","",IF(Z28&gt;=1.1,"-",EXP(-8.444+0.109*'Sıvılaşma Potansiyeli Analizi'!BJ27+5.379*(CY28^0.1))*101.33))</f>
        <v>-</v>
      </c>
      <c r="DD28" s="566"/>
      <c r="DE28" s="566"/>
      <c r="DF28" s="566"/>
      <c r="DG28" s="566"/>
      <c r="DH28" s="567"/>
      <c r="DI28" s="566" t="str">
        <f>IF(E28="","",IF(Z28&gt;=1.1,"-",(EXP((0.1292*'Sıvılaşma Potansiyeli Analizi'!BN27)+(4.322*(V28*0.01)^0.12)))*0.04788))</f>
        <v>-</v>
      </c>
      <c r="DJ28" s="566"/>
      <c r="DK28" s="566"/>
      <c r="DL28" s="566"/>
      <c r="DM28" s="566"/>
      <c r="DN28" s="567"/>
      <c r="DO28" s="178" t="str">
        <f t="shared" si="6"/>
        <v>-</v>
      </c>
      <c r="DP28" s="157"/>
      <c r="DQ28" s="157"/>
      <c r="DR28" s="157"/>
      <c r="DS28" s="157"/>
      <c r="DT28" s="157"/>
      <c r="DU28" s="157"/>
      <c r="DV28" s="157"/>
      <c r="DW28" s="158"/>
      <c r="DX28" s="558"/>
      <c r="DY28" s="558"/>
      <c r="DZ28" s="558"/>
      <c r="EA28" s="558"/>
      <c r="EB28" s="558"/>
      <c r="EC28" s="558"/>
      <c r="ED28" s="558"/>
      <c r="EE28" s="558"/>
      <c r="EF28" s="558"/>
      <c r="EG28" s="558"/>
      <c r="EH28" s="558"/>
      <c r="EI28" s="561"/>
      <c r="EL28" s="49"/>
      <c r="EM28" s="49"/>
      <c r="EN28" s="49"/>
      <c r="EO28" s="49"/>
      <c r="EP28" s="49"/>
      <c r="EQ28" s="49"/>
      <c r="ER28" s="49"/>
      <c r="ES28" s="49"/>
      <c r="ET28" s="49"/>
      <c r="EU28" s="49"/>
      <c r="EV28" s="49"/>
      <c r="EW28" s="49"/>
      <c r="FA28" s="24"/>
      <c r="FB28" s="49"/>
      <c r="FG28" s="79"/>
      <c r="FN28" s="80"/>
      <c r="FO28" s="80"/>
      <c r="FP28" s="80"/>
      <c r="FQ28" s="80"/>
      <c r="FR28" s="80"/>
      <c r="FS28" s="80"/>
      <c r="FT28" s="80"/>
      <c r="FU28" s="80"/>
      <c r="FV28" s="80"/>
      <c r="FW28" s="80"/>
      <c r="FX28" s="80"/>
      <c r="FY28" s="80"/>
      <c r="FZ28" s="80"/>
      <c r="GA28" s="81"/>
      <c r="GB28" s="81"/>
      <c r="GC28" s="81"/>
      <c r="GD28" s="81"/>
      <c r="GE28" s="81"/>
      <c r="GF28" s="81"/>
      <c r="GG28" s="81"/>
      <c r="GH28" s="81"/>
      <c r="GI28" s="81"/>
      <c r="GJ28" s="81"/>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W28" s="24"/>
      <c r="HX28" s="24"/>
      <c r="HY28" s="24"/>
      <c r="HZ28" s="24"/>
      <c r="IA28" s="24"/>
      <c r="IB28" s="24"/>
      <c r="IM28" s="24"/>
      <c r="IN28" s="24"/>
      <c r="IO28" s="24"/>
      <c r="IP28" s="24"/>
      <c r="IQ28" s="24"/>
      <c r="IR28" s="24"/>
      <c r="IS28" s="24"/>
      <c r="IT28" s="24"/>
      <c r="IU28" s="24"/>
      <c r="IV28" s="24"/>
    </row>
    <row r="29" spans="2:256" ht="24.95" customHeight="1">
      <c r="B29" s="593" t="str">
        <f>+IF('Sıvılaşma Potansiyeli Analizi'!B28="","",'Sıvılaşma Potansiyeli Analizi'!B28)</f>
        <v>12 -</v>
      </c>
      <c r="C29" s="594"/>
      <c r="D29" s="594"/>
      <c r="E29" s="595">
        <f>+IF('Sıvılaşma Potansiyeli Analizi'!E28="","",'Sıvılaşma Potansiyeli Analizi'!E28)</f>
        <v>9.4</v>
      </c>
      <c r="F29" s="596"/>
      <c r="G29" s="596"/>
      <c r="H29" s="597"/>
      <c r="I29" s="598">
        <f>+IF('Sıvılaşma Potansiyeli Analizi'!I28="","",'Sıvılaşma Potansiyeli Analizi'!I28)</f>
        <v>10</v>
      </c>
      <c r="J29" s="598"/>
      <c r="K29" s="598"/>
      <c r="L29" s="599" t="str">
        <f>+IF('Sıvılaşma Potansiyeli Analizi'!L28="","",'Sıvılaşma Potansiyeli Analizi'!L28)</f>
        <v/>
      </c>
      <c r="M29" s="600"/>
      <c r="N29" s="600"/>
      <c r="O29" s="600"/>
      <c r="P29" s="600"/>
      <c r="Q29" s="595" t="str">
        <f>+IF('Sıvılaşma Potansiyeli Analizi'!Q28="","",'Sıvılaşma Potansiyeli Analizi'!Q28)</f>
        <v/>
      </c>
      <c r="R29" s="596"/>
      <c r="S29" s="596"/>
      <c r="T29" s="596"/>
      <c r="U29" s="597"/>
      <c r="V29" s="601">
        <f>+IF('Sıvılaşma Potansiyeli Analizi'!AQ28="","",'Sıvılaşma Potansiyeli Analizi'!AQ28)</f>
        <v>113.40599999999999</v>
      </c>
      <c r="W29" s="601"/>
      <c r="X29" s="601"/>
      <c r="Y29" s="601"/>
      <c r="Z29" s="178">
        <f>+IF('Sıvılaşma Potansiyeli Analizi'!CN28="","",'Sıvılaşma Potansiyeli Analizi'!CN28)</f>
        <v>0.61</v>
      </c>
      <c r="AA29" s="157"/>
      <c r="AB29" s="157"/>
      <c r="AC29" s="158"/>
      <c r="AD29" s="182" t="str">
        <f>+IF('Sıvılaşma Potansiyeli Analizi'!CR28="","",'Sıvılaşma Potansiyeli Analizi'!CR28)</f>
        <v>Sıvılaşma Beklenir</v>
      </c>
      <c r="AE29" s="182"/>
      <c r="AF29" s="182"/>
      <c r="AG29" s="182"/>
      <c r="AH29" s="182"/>
      <c r="AI29" s="182"/>
      <c r="AJ29" s="182"/>
      <c r="AK29" s="182"/>
      <c r="AL29" s="182"/>
      <c r="AM29" s="182"/>
      <c r="AN29" s="183"/>
      <c r="AO29" s="193">
        <f>IF(E29="","",IF(Z29="-","-",IF('Sıvılaşma Potansiyeli Analizi'!BJ28&gt;30,0,MAX(0,MIN(0.5,1.859*(1.1-SQRT('Sıvılaşma Potansiyeli Analizi'!BN28/46))^3)))))</f>
        <v>0.46024009121735998</v>
      </c>
      <c r="AP29" s="592"/>
      <c r="AQ29" s="194"/>
      <c r="AR29" s="194"/>
      <c r="AS29" s="194"/>
      <c r="AT29" s="194">
        <f>IF(E29="","", IF(Z29="-","-",IF('Sıvılaşma Potansiyeli Analizi'!BN28&gt;30,0,0.032+0.69*SQRT(MAX(7,'Sıvılaşma Potansiyeli Analizi'!BN28))-0.13*MAX(7,'Sıvılaşma Potansiyeli Analizi'!BN28))))</f>
        <v>0.90853997085689686</v>
      </c>
      <c r="AU29" s="194"/>
      <c r="AV29" s="194"/>
      <c r="AW29" s="194"/>
      <c r="AX29" s="194"/>
      <c r="AY29" s="194">
        <f t="shared" si="2"/>
        <v>0.46024009121735998</v>
      </c>
      <c r="AZ29" s="194"/>
      <c r="BA29" s="194"/>
      <c r="BB29" s="194"/>
      <c r="BC29" s="194"/>
      <c r="BD29" s="162">
        <f>IF('Sıvılaşma Potansiyeli Analizi'!E28="","",IF('Sıvılaşma Potansiyeli Analizi'!CN28="-","-",IF('Sıvılaşma Potansiyeli Analizi'!CN28&gt;1.1,0,IF('Sıvılaşma Potansiyeli Analizi'!E29="",('Sıvılaşma Potansiyeli Analizi'!$E$33-'Sıvılaşma Potansiyeli Analizi'!E28)+(('Sıvılaşma Potansiyeli Analizi'!E28-'Sıvılaşma Potansiyeli Analizi'!E27)/2),IF(AND(BD28=0,'Sıvılaşma Potansiyeli Analizi'!$BC$8&lt;'Sıvılaşma Potansiyeli Analizi'!E28,'Sıvılaşma Potansiyeli Analizi'!$BC$8&gt;='Sıvılaşma Potansiyeli Analizi'!E27),(('Sıvılaşma Potansiyeli Analizi'!E29-'Sıvılaşma Potansiyeli Analizi'!E28)/2)+('Sıvılaşma Potansiyeli Analizi'!E28-'Sıvılaşma Potansiyeli Analizi'!$BC$8),(('Sıvılaşma Potansiyeli Analizi'!E29-'Sıvılaşma Potansiyeli Analizi'!E28)/2)+(('Sıvılaşma Potansiyeli Analizi'!E28-'Sıvılaşma Potansiyeli Analizi'!E27)/2))))))</f>
        <v>0.75</v>
      </c>
      <c r="BE29" s="157"/>
      <c r="BF29" s="157"/>
      <c r="BG29" s="157"/>
      <c r="BH29" s="158"/>
      <c r="BI29" s="194">
        <f t="shared" si="3"/>
        <v>0.34518006841301996</v>
      </c>
      <c r="BJ29" s="194"/>
      <c r="BK29" s="194"/>
      <c r="BL29" s="194"/>
      <c r="BM29" s="194"/>
      <c r="BN29" s="194">
        <f>IF(E29="","",IF(Z29="-","-",IF(Z29&gt;2,0,IF('Sıvılaşma Potansiyeli Analizi'!BN28&gt;30,0,1.5*EXP(-0.369*SQRT('Sıvılaşma Potansiyeli Analizi'!BN28))*MIN(0.08,AY29)))))</f>
        <v>3.6819115831677768E-2</v>
      </c>
      <c r="BO29" s="194"/>
      <c r="BP29" s="194"/>
      <c r="BQ29" s="194"/>
      <c r="BR29" s="194"/>
      <c r="BS29" s="194">
        <f t="shared" si="4"/>
        <v>2.7614336873758326E-2</v>
      </c>
      <c r="BT29" s="194"/>
      <c r="BU29" s="194"/>
      <c r="BV29" s="591"/>
      <c r="BW29" s="193">
        <f>IF(E29="","",IF(Z29="-","-",(0.65*$CE$9*0.4*('Sıvılaşma Potansiyeli Analizi'!AM28/'Sıvılaşma Potansiyeli Analizi'!AQ28)*'Sıvılaşma Potansiyeli Analizi'!CF28)/(2.5-0.2*$AW$9)))</f>
        <v>0.22960332081195001</v>
      </c>
      <c r="BX29" s="194"/>
      <c r="BY29" s="194"/>
      <c r="BZ29" s="194"/>
      <c r="CA29" s="604"/>
      <c r="CB29" s="194">
        <f>IF(E29="","",IF(Z29="-","-",IF((BW29/'Sıvılaşma Potansiyeli Analizi'!BJ28)&gt;0.01,('Sıvılaşma Potansiyeli Analizi'!BJ28^(-0.6)*10*0.01),"-")))</f>
        <v>2.6435498041684973E-2</v>
      </c>
      <c r="CC29" s="194"/>
      <c r="CD29" s="194"/>
      <c r="CE29" s="194"/>
      <c r="CF29" s="194"/>
      <c r="CG29" s="182">
        <f t="shared" si="5"/>
        <v>1.9826623531263729E-2</v>
      </c>
      <c r="CH29" s="158"/>
      <c r="CI29" s="182"/>
      <c r="CJ29" s="183"/>
      <c r="CK29" s="588">
        <f>IF(E29="","",IF(Z29="-","-",IF('Sıvılaşma Potansiyeli Analizi'!AI28&lt;10,1,IF('Sıvılaşma Potansiyeli Analizi'!AI28&lt;25,2,IF('Sıvılaşma Potansiyeli Analizi'!AI28&lt;50,4,5)))))</f>
        <v>2</v>
      </c>
      <c r="CL29" s="589"/>
      <c r="CM29" s="589"/>
      <c r="CN29" s="590">
        <f t="shared" si="0"/>
        <v>33.094577864566993</v>
      </c>
      <c r="CO29" s="589"/>
      <c r="CP29" s="589"/>
      <c r="CQ29" s="584">
        <f>IF(E29="","",IF(Z29&gt;=1.1,"-",IF(((EXP(('Sıvılaşma Potansiyeli Analizi'!BJ28+CK29)/16+(('Sıvılaşma Potansiyeli Analizi'!BJ28+CK29-16)/21.2)^3-3))*(1+EXP(('Sıvılaşma Potansiyeli Analizi'!BJ28+CK29)/2.4-6.6)))&lt;=TAN(RADIANS(CN29)),((EXP(('Sıvılaşma Potansiyeli Analizi'!BJ28+CK29)/16+(('Sıvılaşma Potansiyeli Analizi'!BJ28+CK29-16)/21.2)^3-3))*(1+EXP(('Sıvılaşma Potansiyeli Analizi'!BJ28+CK29)/2.4-6.6))),TAN(RADIANS(CN29)))))</f>
        <v>0.11321350842357869</v>
      </c>
      <c r="CR29" s="585"/>
      <c r="CS29" s="585"/>
      <c r="CT29" s="585"/>
      <c r="CU29" s="584">
        <f>IF(E29="","",IF(Z29&gt;=1.1,"-",IF(((EXP(('Sıvılaşma Potansiyeli Analizi'!BJ28+CK29)/16+(('Sıvılaşma Potansiyeli Analizi'!BJ28+CK29-16)/21.2)^3-3)))&lt;=TAN(RADIANS(CN29)),((EXP(('Sıvılaşma Potansiyeli Analizi'!BJ28+CK29)/16+(('Sıvılaşma Potansiyeli Analizi'!BJ28+CK29-16)/21.2)^3-3))),TAN(RADIANS(CN29)))))</f>
        <v>9.8989683207839893E-2</v>
      </c>
      <c r="CV29" s="585"/>
      <c r="CW29" s="585"/>
      <c r="CX29" s="585"/>
      <c r="CY29" s="586">
        <f t="shared" si="1"/>
        <v>1.1193172199999999</v>
      </c>
      <c r="CZ29" s="587"/>
      <c r="DA29" s="587"/>
      <c r="DB29" s="587"/>
      <c r="DC29" s="565">
        <f>IF(E29="","",IF(Z29&gt;=1.1,"-",EXP(-8.444+0.109*'Sıvılaşma Potansiyeli Analizi'!BJ28+5.379*(CY29^0.1))*101.33))</f>
        <v>13.672514327702306</v>
      </c>
      <c r="DD29" s="566"/>
      <c r="DE29" s="566"/>
      <c r="DF29" s="566"/>
      <c r="DG29" s="566"/>
      <c r="DH29" s="567"/>
      <c r="DI29" s="566">
        <f>IF(E29="","",IF(Z29&gt;=1.1,"-",(EXP((0.1292*'Sıvılaşma Potansiyeli Analizi'!BN28)+(4.322*(V29*0.01)^0.12)))*0.04788))</f>
        <v>14.48631938085949</v>
      </c>
      <c r="DJ29" s="566"/>
      <c r="DK29" s="566"/>
      <c r="DL29" s="566"/>
      <c r="DM29" s="566"/>
      <c r="DN29" s="567"/>
      <c r="DO29" s="178">
        <f t="shared" si="6"/>
        <v>0.75</v>
      </c>
      <c r="DP29" s="157"/>
      <c r="DQ29" s="157"/>
      <c r="DR29" s="157"/>
      <c r="DS29" s="157"/>
      <c r="DT29" s="157"/>
      <c r="DU29" s="157"/>
      <c r="DV29" s="157"/>
      <c r="DW29" s="158"/>
      <c r="DX29" s="562" t="s">
        <v>273</v>
      </c>
      <c r="DY29" s="562"/>
      <c r="DZ29" s="562"/>
      <c r="EA29" s="562"/>
      <c r="EB29" s="562"/>
      <c r="EC29" s="562"/>
      <c r="ED29" s="568" t="s">
        <v>299</v>
      </c>
      <c r="EE29" s="568"/>
      <c r="EF29" s="568"/>
      <c r="EG29" s="568"/>
      <c r="EH29" s="568"/>
      <c r="EI29" s="569"/>
      <c r="EL29" s="49"/>
      <c r="EM29" s="49"/>
      <c r="EN29" s="49"/>
      <c r="EO29" s="49"/>
      <c r="EP29" s="49"/>
      <c r="EQ29" s="49"/>
      <c r="ER29" s="49"/>
      <c r="ES29" s="49"/>
      <c r="ET29" s="49"/>
      <c r="EU29" s="49"/>
      <c r="EV29" s="49"/>
      <c r="EW29" s="49"/>
      <c r="FA29" s="24"/>
      <c r="FB29" s="49"/>
      <c r="FG29" s="79"/>
      <c r="FN29" s="80"/>
      <c r="FO29" s="80"/>
      <c r="FP29" s="80"/>
      <c r="FQ29" s="80"/>
      <c r="FR29" s="80"/>
      <c r="FS29" s="80"/>
      <c r="FT29" s="80"/>
      <c r="FU29" s="80"/>
      <c r="FV29" s="80"/>
      <c r="FW29" s="80"/>
      <c r="FX29" s="80"/>
      <c r="FY29" s="80"/>
      <c r="FZ29" s="80"/>
      <c r="GA29" s="81"/>
      <c r="GB29" s="81"/>
      <c r="GC29" s="81"/>
      <c r="GD29" s="81"/>
      <c r="GE29" s="81"/>
      <c r="GF29" s="81"/>
      <c r="GG29" s="81"/>
      <c r="GH29" s="81"/>
      <c r="GI29" s="81"/>
      <c r="GJ29" s="81"/>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W29" s="24"/>
      <c r="HX29" s="24"/>
      <c r="HY29" s="24"/>
      <c r="HZ29" s="24"/>
      <c r="IA29" s="24"/>
      <c r="IB29" s="24"/>
      <c r="IM29" s="24"/>
      <c r="IN29" s="24"/>
      <c r="IO29" s="24"/>
      <c r="IP29" s="24"/>
      <c r="IQ29" s="24"/>
      <c r="IR29" s="24"/>
      <c r="IS29" s="24"/>
      <c r="IT29" s="24"/>
      <c r="IU29" s="24"/>
      <c r="IV29" s="24"/>
    </row>
    <row r="30" spans="2:256" ht="24.95" customHeight="1">
      <c r="B30" s="593" t="str">
        <f>+IF('Sıvılaşma Potansiyeli Analizi'!B29="","",'Sıvılaşma Potansiyeli Analizi'!B29)</f>
        <v>13 -</v>
      </c>
      <c r="C30" s="594"/>
      <c r="D30" s="594"/>
      <c r="E30" s="595">
        <f>+IF('Sıvılaşma Potansiyeli Analizi'!E29="","",'Sıvılaşma Potansiyeli Analizi'!E29)</f>
        <v>10.199999999999999</v>
      </c>
      <c r="F30" s="596"/>
      <c r="G30" s="596"/>
      <c r="H30" s="597"/>
      <c r="I30" s="598">
        <f>+IF('Sıvılaşma Potansiyeli Analizi'!I29="","",'Sıvılaşma Potansiyeli Analizi'!I29)</f>
        <v>15</v>
      </c>
      <c r="J30" s="598"/>
      <c r="K30" s="598"/>
      <c r="L30" s="599" t="str">
        <f>+IF('Sıvılaşma Potansiyeli Analizi'!L29="","",'Sıvılaşma Potansiyeli Analizi'!L29)</f>
        <v/>
      </c>
      <c r="M30" s="600"/>
      <c r="N30" s="600"/>
      <c r="O30" s="600"/>
      <c r="P30" s="600"/>
      <c r="Q30" s="595" t="str">
        <f>+IF('Sıvılaşma Potansiyeli Analizi'!Q29="","",'Sıvılaşma Potansiyeli Analizi'!Q29)</f>
        <v/>
      </c>
      <c r="R30" s="596"/>
      <c r="S30" s="596"/>
      <c r="T30" s="596"/>
      <c r="U30" s="597"/>
      <c r="V30" s="601">
        <f>+IF('Sıvılaşma Potansiyeli Analizi'!AQ29="","",'Sıvılaşma Potansiyeli Analizi'!AQ29)</f>
        <v>121.55800000000001</v>
      </c>
      <c r="W30" s="601"/>
      <c r="X30" s="601"/>
      <c r="Y30" s="601"/>
      <c r="Z30" s="178">
        <f>+IF('Sıvılaşma Potansiyeli Analizi'!CN29="","",'Sıvılaşma Potansiyeli Analizi'!CN29)</f>
        <v>0.91</v>
      </c>
      <c r="AA30" s="157"/>
      <c r="AB30" s="157"/>
      <c r="AC30" s="158"/>
      <c r="AD30" s="182" t="str">
        <f>+IF('Sıvılaşma Potansiyeli Analizi'!CR29="","",'Sıvılaşma Potansiyeli Analizi'!CR29)</f>
        <v>Sıvılaşma Beklenir</v>
      </c>
      <c r="AE30" s="182"/>
      <c r="AF30" s="182"/>
      <c r="AG30" s="182"/>
      <c r="AH30" s="182"/>
      <c r="AI30" s="182"/>
      <c r="AJ30" s="182"/>
      <c r="AK30" s="182"/>
      <c r="AL30" s="182"/>
      <c r="AM30" s="182"/>
      <c r="AN30" s="183"/>
      <c r="AO30" s="193">
        <f>IF(E30="","",IF(Z30="-","-",IF('Sıvılaşma Potansiyeli Analizi'!BJ29&gt;30,0,MAX(0,MIN(0.5,1.859*(1.1-SQRT('Sıvılaşma Potansiyeli Analizi'!BN29/46))^3)))))</f>
        <v>0.2449518378410524</v>
      </c>
      <c r="AP30" s="592"/>
      <c r="AQ30" s="194"/>
      <c r="AR30" s="194"/>
      <c r="AS30" s="194"/>
      <c r="AT30" s="194">
        <f>IF(E30="","", IF(Z30="-","-",IF('Sıvılaşma Potansiyeli Analizi'!BN29&gt;30,0,0.032+0.69*SQRT(MAX(7,'Sıvılaşma Potansiyeli Analizi'!BN29))-0.13*MAX(7,'Sıvılaşma Potansiyeli Analizi'!BN29))))</f>
        <v>0.70873739749384157</v>
      </c>
      <c r="AU30" s="194"/>
      <c r="AV30" s="194"/>
      <c r="AW30" s="194"/>
      <c r="AX30" s="194"/>
      <c r="AY30" s="194">
        <f t="shared" si="2"/>
        <v>5.520980126086731E-2</v>
      </c>
      <c r="AZ30" s="194"/>
      <c r="BA30" s="194"/>
      <c r="BB30" s="194"/>
      <c r="BC30" s="194"/>
      <c r="BD30" s="162">
        <f>IF('Sıvılaşma Potansiyeli Analizi'!E29="","",IF('Sıvılaşma Potansiyeli Analizi'!CN29="-","-",IF('Sıvılaşma Potansiyeli Analizi'!CN29&gt;1.1,0,IF('Sıvılaşma Potansiyeli Analizi'!E30="",('Sıvılaşma Potansiyeli Analizi'!$E$33-'Sıvılaşma Potansiyeli Analizi'!E29)+(('Sıvılaşma Potansiyeli Analizi'!E29-'Sıvılaşma Potansiyeli Analizi'!E28)/2),IF(AND(BD29=0,'Sıvılaşma Potansiyeli Analizi'!$BC$8&lt;'Sıvılaşma Potansiyeli Analizi'!E29,'Sıvılaşma Potansiyeli Analizi'!$BC$8&gt;='Sıvılaşma Potansiyeli Analizi'!E28),(('Sıvılaşma Potansiyeli Analizi'!E30-'Sıvılaşma Potansiyeli Analizi'!E29)/2)+('Sıvılaşma Potansiyeli Analizi'!E29-'Sıvılaşma Potansiyeli Analizi'!$BC$8),(('Sıvılaşma Potansiyeli Analizi'!E30-'Sıvılaşma Potansiyeli Analizi'!E29)/2)+(('Sıvılaşma Potansiyeli Analizi'!E29-'Sıvılaşma Potansiyeli Analizi'!E28)/2))))))</f>
        <v>0.79999999999999982</v>
      </c>
      <c r="BE30" s="157"/>
      <c r="BF30" s="157"/>
      <c r="BG30" s="157"/>
      <c r="BH30" s="158"/>
      <c r="BI30" s="194">
        <f t="shared" si="3"/>
        <v>4.4167841008693837E-2</v>
      </c>
      <c r="BJ30" s="194"/>
      <c r="BK30" s="194"/>
      <c r="BL30" s="194"/>
      <c r="BM30" s="194"/>
      <c r="BN30" s="194">
        <f>IF(E30="","",IF(Z30="-","-",IF(Z30&gt;2,0,IF('Sıvılaşma Potansiyeli Analizi'!BN29&gt;30,0,1.5*EXP(-0.369*SQRT('Sıvılaşma Potansiyeli Analizi'!BN29))*MIN(0.08,AY30)))))</f>
        <v>1.8862535709449305E-2</v>
      </c>
      <c r="BO30" s="194"/>
      <c r="BP30" s="194"/>
      <c r="BQ30" s="194"/>
      <c r="BR30" s="194"/>
      <c r="BS30" s="194">
        <f t="shared" si="4"/>
        <v>1.5090028567559441E-2</v>
      </c>
      <c r="BT30" s="194"/>
      <c r="BU30" s="194"/>
      <c r="BV30" s="591"/>
      <c r="BW30" s="193">
        <f>IF(E30="","",IF(Z30="-","-",(0.65*$CE$9*0.4*('Sıvılaşma Potansiyeli Analizi'!AM29/'Sıvılaşma Potansiyeli Analizi'!AQ29)*'Sıvılaşma Potansiyeli Analizi'!CF29)/(2.5-0.2*$AW$9)))</f>
        <v>0.22724836593779646</v>
      </c>
      <c r="BX30" s="194"/>
      <c r="BY30" s="194"/>
      <c r="BZ30" s="194"/>
      <c r="CA30" s="604"/>
      <c r="CB30" s="194">
        <f>IF(E30="","",IF(Z30="-","-",IF((BW30/'Sıvılaşma Potansiyeli Analizi'!BJ29)&gt;0.01,('Sıvılaşma Potansiyeli Analizi'!BJ29^(-0.6)*10*0.01),"-")))</f>
        <v>2.1162988478024287E-2</v>
      </c>
      <c r="CC30" s="194"/>
      <c r="CD30" s="194"/>
      <c r="CE30" s="194"/>
      <c r="CF30" s="194"/>
      <c r="CG30" s="182">
        <f t="shared" si="5"/>
        <v>1.6930390782419428E-2</v>
      </c>
      <c r="CH30" s="158"/>
      <c r="CI30" s="182"/>
      <c r="CJ30" s="183"/>
      <c r="CK30" s="588">
        <f>IF(E30="","",IF(Z30="-","-",IF('Sıvılaşma Potansiyeli Analizi'!AI29&lt;10,1,IF('Sıvılaşma Potansiyeli Analizi'!AI29&lt;25,2,IF('Sıvılaşma Potansiyeli Analizi'!AI29&lt;50,4,5)))))</f>
        <v>2</v>
      </c>
      <c r="CL30" s="589"/>
      <c r="CM30" s="589"/>
      <c r="CN30" s="590">
        <f t="shared" si="0"/>
        <v>36.37191588950629</v>
      </c>
      <c r="CO30" s="589"/>
      <c r="CP30" s="589"/>
      <c r="CQ30" s="584">
        <f>IF(E30="","",IF(Z30&gt;=1.1,"-",IF(((EXP(('Sıvılaşma Potansiyeli Analizi'!BJ29+CK30)/16+(('Sıvılaşma Potansiyeli Analizi'!BJ29+CK30-16)/21.2)^3-3))*(1+EXP(('Sıvılaşma Potansiyeli Analizi'!BJ29+CK30)/2.4-6.6)))&lt;=TAN(RADIANS(CN30)),((EXP(('Sıvılaşma Potansiyeli Analizi'!BJ29+CK30)/16+(('Sıvılaşma Potansiyeli Analizi'!BJ29+CK30-16)/21.2)^3-3))*(1+EXP(('Sıvılaşma Potansiyeli Analizi'!BJ29+CK30)/2.4-6.6))),TAN(RADIANS(CN30)))))</f>
        <v>0.23330537730044848</v>
      </c>
      <c r="CR30" s="585"/>
      <c r="CS30" s="585"/>
      <c r="CT30" s="585"/>
      <c r="CU30" s="584">
        <f>IF(E30="","",IF(Z30&gt;=1.1,"-",IF(((EXP(('Sıvılaşma Potansiyeli Analizi'!BJ29+CK30)/16+(('Sıvılaşma Potansiyeli Analizi'!BJ29+CK30-16)/21.2)^3-3)))&lt;=TAN(RADIANS(CN30)),((EXP(('Sıvılaşma Potansiyeli Analizi'!BJ29+CK30)/16+(('Sıvılaşma Potansiyeli Analizi'!BJ29+CK30-16)/21.2)^3-3))),TAN(RADIANS(CN30)))))</f>
        <v>0.12958377462098661</v>
      </c>
      <c r="CV30" s="585"/>
      <c r="CW30" s="585"/>
      <c r="CX30" s="585"/>
      <c r="CY30" s="586">
        <f t="shared" si="1"/>
        <v>1.19977746</v>
      </c>
      <c r="CZ30" s="587"/>
      <c r="DA30" s="587"/>
      <c r="DB30" s="587"/>
      <c r="DC30" s="565">
        <f>IF(E30="","",IF(Z30&gt;=1.1,"-",EXP(-8.444+0.109*'Sıvılaşma Potansiyeli Analizi'!BJ29+5.379*(CY30^0.1))*101.33))</f>
        <v>22.255173829452875</v>
      </c>
      <c r="DD30" s="566"/>
      <c r="DE30" s="566"/>
      <c r="DF30" s="566"/>
      <c r="DG30" s="566"/>
      <c r="DH30" s="567"/>
      <c r="DI30" s="566">
        <f>IF(E30="","",IF(Z30&gt;=1.1,"-",(EXP((0.1292*'Sıvılaşma Potansiyeli Analizi'!BN29)+(4.322*(V30*0.01)^0.12)))*0.04788))</f>
        <v>31.887064392421117</v>
      </c>
      <c r="DJ30" s="566"/>
      <c r="DK30" s="566"/>
      <c r="DL30" s="566"/>
      <c r="DM30" s="566"/>
      <c r="DN30" s="567"/>
      <c r="DO30" s="178">
        <f t="shared" si="6"/>
        <v>0.79999999999999982</v>
      </c>
      <c r="DP30" s="157"/>
      <c r="DQ30" s="157"/>
      <c r="DR30" s="157"/>
      <c r="DS30" s="157"/>
      <c r="DT30" s="157"/>
      <c r="DU30" s="157"/>
      <c r="DV30" s="157"/>
      <c r="DW30" s="158"/>
      <c r="DX30" s="563"/>
      <c r="DY30" s="563"/>
      <c r="DZ30" s="563"/>
      <c r="EA30" s="563"/>
      <c r="EB30" s="563"/>
      <c r="EC30" s="563"/>
      <c r="ED30" s="570"/>
      <c r="EE30" s="570"/>
      <c r="EF30" s="570"/>
      <c r="EG30" s="570"/>
      <c r="EH30" s="570"/>
      <c r="EI30" s="571"/>
      <c r="EL30" s="49"/>
      <c r="EM30" s="49"/>
      <c r="EN30" s="49"/>
      <c r="EO30" s="49"/>
      <c r="EP30" s="49"/>
      <c r="EQ30" s="49"/>
      <c r="ER30" s="49"/>
      <c r="ES30" s="49"/>
      <c r="ET30" s="49"/>
      <c r="EU30" s="49"/>
      <c r="EV30" s="49"/>
      <c r="EW30" s="49"/>
      <c r="FA30" s="24"/>
      <c r="FB30" s="49"/>
      <c r="FG30" s="79"/>
      <c r="FN30" s="80"/>
      <c r="FO30" s="80"/>
      <c r="FP30" s="80"/>
      <c r="FQ30" s="80"/>
      <c r="FR30" s="80"/>
      <c r="FS30" s="80"/>
      <c r="FT30" s="80"/>
      <c r="FU30" s="80"/>
      <c r="FV30" s="80"/>
      <c r="FW30" s="80"/>
      <c r="FX30" s="80"/>
      <c r="FY30" s="80"/>
      <c r="FZ30" s="80"/>
      <c r="GA30" s="81"/>
      <c r="GB30" s="81"/>
      <c r="GC30" s="81"/>
      <c r="GD30" s="81"/>
      <c r="GE30" s="81"/>
      <c r="GF30" s="81"/>
      <c r="GG30" s="81"/>
      <c r="GH30" s="81"/>
      <c r="GI30" s="81"/>
      <c r="GJ30" s="81"/>
      <c r="GK30" s="24"/>
      <c r="GL30" s="24"/>
      <c r="GM30" s="24"/>
      <c r="GN30" s="24"/>
      <c r="GO30" s="5" t="s">
        <v>298</v>
      </c>
      <c r="GQ30" s="5" t="s">
        <v>299</v>
      </c>
      <c r="GU30" s="24"/>
      <c r="GV30" s="24"/>
      <c r="GW30" s="24"/>
      <c r="GX30" s="24"/>
      <c r="GY30" s="24"/>
      <c r="GZ30" s="24"/>
      <c r="HA30" s="24"/>
      <c r="HB30" s="24"/>
      <c r="HC30" s="24"/>
      <c r="HD30" s="24"/>
      <c r="HE30" s="24"/>
      <c r="HF30" s="24"/>
      <c r="HG30" s="24"/>
      <c r="HH30" s="24"/>
      <c r="HI30" s="24"/>
      <c r="HJ30" s="24"/>
      <c r="HK30" s="24"/>
      <c r="HL30" s="24"/>
      <c r="HW30" s="24"/>
      <c r="HX30" s="24"/>
      <c r="HY30" s="24"/>
      <c r="HZ30" s="24"/>
      <c r="IA30" s="24"/>
      <c r="IB30" s="24"/>
      <c r="IM30" s="24"/>
      <c r="IN30" s="24"/>
      <c r="IO30" s="24"/>
      <c r="IP30" s="24"/>
      <c r="IQ30" s="24"/>
      <c r="IR30" s="24"/>
      <c r="IS30" s="24"/>
      <c r="IT30" s="24"/>
      <c r="IU30" s="24"/>
      <c r="IV30" s="24"/>
    </row>
    <row r="31" spans="2:256" ht="24.95" customHeight="1">
      <c r="B31" s="593" t="str">
        <f>+IF('Sıvılaşma Potansiyeli Analizi'!B30="","",'Sıvılaşma Potansiyeli Analizi'!B30)</f>
        <v>14 -</v>
      </c>
      <c r="C31" s="594"/>
      <c r="D31" s="594"/>
      <c r="E31" s="595">
        <f>+IF('Sıvılaşma Potansiyeli Analizi'!E30="","",'Sıvılaşma Potansiyeli Analizi'!E30)</f>
        <v>11</v>
      </c>
      <c r="F31" s="596"/>
      <c r="G31" s="596"/>
      <c r="H31" s="597"/>
      <c r="I31" s="598">
        <f>+IF('Sıvılaşma Potansiyeli Analizi'!I30="","",'Sıvılaşma Potansiyeli Analizi'!I30)</f>
        <v>20</v>
      </c>
      <c r="J31" s="598"/>
      <c r="K31" s="598"/>
      <c r="L31" s="599" t="str">
        <f>+IF('Sıvılaşma Potansiyeli Analizi'!L30="","",'Sıvılaşma Potansiyeli Analizi'!L30)</f>
        <v/>
      </c>
      <c r="M31" s="600"/>
      <c r="N31" s="600"/>
      <c r="O31" s="600"/>
      <c r="P31" s="600"/>
      <c r="Q31" s="595" t="str">
        <f>+IF('Sıvılaşma Potansiyeli Analizi'!Q30="","",'Sıvılaşma Potansiyeli Analizi'!Q30)</f>
        <v/>
      </c>
      <c r="R31" s="596"/>
      <c r="S31" s="596"/>
      <c r="T31" s="596"/>
      <c r="U31" s="597"/>
      <c r="V31" s="601">
        <f>+IF('Sıvılaşma Potansiyeli Analizi'!AQ30="","",'Sıvılaşma Potansiyeli Analizi'!AQ30)</f>
        <v>129.70999999999998</v>
      </c>
      <c r="W31" s="601"/>
      <c r="X31" s="601"/>
      <c r="Y31" s="601"/>
      <c r="Z31" s="178">
        <f>+IF('Sıvılaşma Potansiyeli Analizi'!CN30="","",'Sıvılaşma Potansiyeli Analizi'!CN30)</f>
        <v>1.33</v>
      </c>
      <c r="AA31" s="157"/>
      <c r="AB31" s="157"/>
      <c r="AC31" s="158"/>
      <c r="AD31" s="182" t="str">
        <f>+IF('Sıvılaşma Potansiyeli Analizi'!CR30="","",'Sıvılaşma Potansiyeli Analizi'!CR30)</f>
        <v>Sıvılaşma Yok</v>
      </c>
      <c r="AE31" s="182"/>
      <c r="AF31" s="182"/>
      <c r="AG31" s="182"/>
      <c r="AH31" s="182"/>
      <c r="AI31" s="182"/>
      <c r="AJ31" s="182"/>
      <c r="AK31" s="182"/>
      <c r="AL31" s="182"/>
      <c r="AM31" s="182"/>
      <c r="AN31" s="183"/>
      <c r="AO31" s="193">
        <f>IF(E31="","",IF(Z31="-","-",IF('Sıvılaşma Potansiyeli Analizi'!BJ30&gt;30,0,MAX(0,MIN(0.5,1.859*(1.1-SQRT('Sıvılaşma Potansiyeli Analizi'!BN30/46))^3)))))</f>
        <v>0.12046211977368496</v>
      </c>
      <c r="AP31" s="592"/>
      <c r="AQ31" s="194"/>
      <c r="AR31" s="194"/>
      <c r="AS31" s="194"/>
      <c r="AT31" s="194">
        <f>IF(E31="","", IF(Z31="-","-",IF('Sıvılaşma Potansiyeli Analizi'!BN30&gt;30,0,0.032+0.69*SQRT(MAX(7,'Sıvılaşma Potansiyeli Analizi'!BN30))-0.13*MAX(7,'Sıvılaşma Potansiyeli Analizi'!BN30))))</f>
        <v>0.38377268911585682</v>
      </c>
      <c r="AU31" s="194"/>
      <c r="AV31" s="194"/>
      <c r="AW31" s="194"/>
      <c r="AX31" s="194"/>
      <c r="AY31" s="194">
        <f t="shared" si="2"/>
        <v>1.5271732567865494E-2</v>
      </c>
      <c r="AZ31" s="194"/>
      <c r="BA31" s="194"/>
      <c r="BB31" s="194"/>
      <c r="BC31" s="194"/>
      <c r="BD31" s="162">
        <f>IF('Sıvılaşma Potansiyeli Analizi'!E30="","",IF('Sıvılaşma Potansiyeli Analizi'!CN30="-","-",IF('Sıvılaşma Potansiyeli Analizi'!CN30&gt;1.1,0,IF('Sıvılaşma Potansiyeli Analizi'!E31="",('Sıvılaşma Potansiyeli Analizi'!$E$33-'Sıvılaşma Potansiyeli Analizi'!E30)+(('Sıvılaşma Potansiyeli Analizi'!E30-'Sıvılaşma Potansiyeli Analizi'!E29)/2),IF(AND(BD30=0,'Sıvılaşma Potansiyeli Analizi'!$BC$8&lt;'Sıvılaşma Potansiyeli Analizi'!E30,'Sıvılaşma Potansiyeli Analizi'!$BC$8&gt;='Sıvılaşma Potansiyeli Analizi'!E29),(('Sıvılaşma Potansiyeli Analizi'!E31-'Sıvılaşma Potansiyeli Analizi'!E30)/2)+('Sıvılaşma Potansiyeli Analizi'!E30-'Sıvılaşma Potansiyeli Analizi'!$BC$8),(('Sıvılaşma Potansiyeli Analizi'!E31-'Sıvılaşma Potansiyeli Analizi'!E30)/2)+(('Sıvılaşma Potansiyeli Analizi'!E30-'Sıvılaşma Potansiyeli Analizi'!E29)/2))))))</f>
        <v>0</v>
      </c>
      <c r="BE31" s="157"/>
      <c r="BF31" s="157"/>
      <c r="BG31" s="157"/>
      <c r="BH31" s="158"/>
      <c r="BI31" s="194">
        <f t="shared" si="3"/>
        <v>0</v>
      </c>
      <c r="BJ31" s="194"/>
      <c r="BK31" s="194"/>
      <c r="BL31" s="194"/>
      <c r="BM31" s="194"/>
      <c r="BN31" s="194">
        <f>IF(E31="","",IF(Z31="-","-",IF(Z31&gt;2,0,IF('Sıvılaşma Potansiyeli Analizi'!BN30&gt;30,0,1.5*EXP(-0.369*SQRT('Sıvılaşma Potansiyeli Analizi'!BN30))*MIN(0.08,AY31)))))</f>
        <v>3.9898104226816335E-3</v>
      </c>
      <c r="BO31" s="194"/>
      <c r="BP31" s="194"/>
      <c r="BQ31" s="194"/>
      <c r="BR31" s="194"/>
      <c r="BS31" s="194">
        <f t="shared" si="4"/>
        <v>0</v>
      </c>
      <c r="BT31" s="194"/>
      <c r="BU31" s="194"/>
      <c r="BV31" s="591"/>
      <c r="BW31" s="193">
        <f>IF(E31="","",IF(Z31="-","-",(0.65*$CE$9*0.4*('Sıvılaşma Potansiyeli Analizi'!AM30/'Sıvılaşma Potansiyeli Analizi'!AQ30)*'Sıvılaşma Potansiyeli Analizi'!CF30)/(2.5-0.2*$AW$9)))</f>
        <v>0.22439019607843139</v>
      </c>
      <c r="BX31" s="194"/>
      <c r="BY31" s="194"/>
      <c r="BZ31" s="194"/>
      <c r="CA31" s="604"/>
      <c r="CB31" s="194">
        <f>IF(E31="","",IF(Z31="-","-",IF((BW31/'Sıvılaşma Potansiyeli Analizi'!BJ30)&gt;0.01,('Sıvılaşma Potansiyeli Analizi'!BJ30^(-0.6)*10*0.01),"-")))</f>
        <v>1.8158113547483538E-2</v>
      </c>
      <c r="CC31" s="194"/>
      <c r="CD31" s="194"/>
      <c r="CE31" s="194"/>
      <c r="CF31" s="194"/>
      <c r="CG31" s="182">
        <f t="shared" si="5"/>
        <v>0</v>
      </c>
      <c r="CH31" s="158"/>
      <c r="CI31" s="182"/>
      <c r="CJ31" s="183"/>
      <c r="CK31" s="588">
        <f>IF(E31="","",IF(Z31="-","-",IF('Sıvılaşma Potansiyeli Analizi'!AI30&lt;10,1,IF('Sıvılaşma Potansiyeli Analizi'!AI30&lt;25,2,IF('Sıvılaşma Potansiyeli Analizi'!AI30&lt;50,4,5)))))</f>
        <v>2</v>
      </c>
      <c r="CL31" s="589"/>
      <c r="CM31" s="589"/>
      <c r="CN31" s="590">
        <f t="shared" si="0"/>
        <v>38.665228244980675</v>
      </c>
      <c r="CO31" s="589"/>
      <c r="CP31" s="589"/>
      <c r="CQ31" s="584" t="str">
        <f>IF(E31="","",IF(Z31&gt;=1.1,"-",IF(((EXP(('Sıvılaşma Potansiyeli Analizi'!BJ30+CK31)/16+(('Sıvılaşma Potansiyeli Analizi'!BJ30+CK31-16)/21.2)^3-3))*(1+EXP(('Sıvılaşma Potansiyeli Analizi'!BJ30+CK31)/2.4-6.6)))&lt;=TAN(RADIANS(CN31)),((EXP(('Sıvılaşma Potansiyeli Analizi'!BJ30+CK31)/16+(('Sıvılaşma Potansiyeli Analizi'!BJ30+CK31-16)/21.2)^3-3))*(1+EXP(('Sıvılaşma Potansiyeli Analizi'!BJ30+CK31)/2.4-6.6))),TAN(RADIANS(CN31)))))</f>
        <v>-</v>
      </c>
      <c r="CR31" s="585"/>
      <c r="CS31" s="585"/>
      <c r="CT31" s="585"/>
      <c r="CU31" s="584" t="str">
        <f>IF(E31="","",IF(Z31&gt;=1.1,"-",IF(((EXP(('Sıvılaşma Potansiyeli Analizi'!BJ30+CK31)/16+(('Sıvılaşma Potansiyeli Analizi'!BJ30+CK31-16)/21.2)^3-3)))&lt;=TAN(RADIANS(CN31)),((EXP(('Sıvılaşma Potansiyeli Analizi'!BJ30+CK31)/16+(('Sıvılaşma Potansiyeli Analizi'!BJ30+CK31-16)/21.2)^3-3))),TAN(RADIANS(CN31)))))</f>
        <v>-</v>
      </c>
      <c r="CV31" s="585"/>
      <c r="CW31" s="585"/>
      <c r="CX31" s="585"/>
      <c r="CY31" s="586">
        <f t="shared" si="1"/>
        <v>1.2802376999999998</v>
      </c>
      <c r="CZ31" s="587"/>
      <c r="DA31" s="587"/>
      <c r="DB31" s="587"/>
      <c r="DC31" s="565" t="str">
        <f>IF(E31="","",IF(Z31&gt;=1.1,"-",EXP(-8.444+0.109*'Sıvılaşma Potansiyeli Analizi'!BJ30+5.379*(CY31^0.1))*101.33))</f>
        <v>-</v>
      </c>
      <c r="DD31" s="566"/>
      <c r="DE31" s="566"/>
      <c r="DF31" s="566"/>
      <c r="DG31" s="566"/>
      <c r="DH31" s="567"/>
      <c r="DI31" s="566" t="str">
        <f>IF(E31="","",IF(Z31&gt;=1.1,"-",(EXP((0.1292*'Sıvılaşma Potansiyeli Analizi'!BN30)+(4.322*(V31*0.01)^0.12)))*0.04788))</f>
        <v>-</v>
      </c>
      <c r="DJ31" s="566"/>
      <c r="DK31" s="566"/>
      <c r="DL31" s="566"/>
      <c r="DM31" s="566"/>
      <c r="DN31" s="567"/>
      <c r="DO31" s="178" t="str">
        <f t="shared" si="6"/>
        <v>-</v>
      </c>
      <c r="DP31" s="157"/>
      <c r="DQ31" s="157"/>
      <c r="DR31" s="157"/>
      <c r="DS31" s="157"/>
      <c r="DT31" s="157"/>
      <c r="DU31" s="157"/>
      <c r="DV31" s="157"/>
      <c r="DW31" s="158"/>
      <c r="DX31" s="563"/>
      <c r="DY31" s="563"/>
      <c r="DZ31" s="563"/>
      <c r="EA31" s="563"/>
      <c r="EB31" s="563"/>
      <c r="EC31" s="563"/>
      <c r="ED31" s="570"/>
      <c r="EE31" s="570"/>
      <c r="EF31" s="570"/>
      <c r="EG31" s="570"/>
      <c r="EH31" s="570"/>
      <c r="EI31" s="571"/>
      <c r="EL31" s="49"/>
      <c r="EM31" s="49"/>
      <c r="EN31" s="49"/>
      <c r="EO31" s="49"/>
      <c r="EP31" s="49"/>
      <c r="EQ31" s="49"/>
      <c r="ER31" s="49"/>
      <c r="ES31" s="49"/>
      <c r="ET31" s="49"/>
      <c r="EU31" s="49"/>
      <c r="EV31" s="49"/>
      <c r="EW31" s="49"/>
      <c r="FA31" s="24"/>
      <c r="FB31" s="49"/>
      <c r="FG31" s="79"/>
      <c r="FN31" s="80"/>
      <c r="FO31" s="80"/>
      <c r="FP31" s="80"/>
      <c r="FQ31" s="80"/>
      <c r="FR31" s="80"/>
      <c r="FS31" s="80"/>
      <c r="FT31" s="80"/>
      <c r="FU31" s="80"/>
      <c r="FV31" s="80"/>
      <c r="FW31" s="80"/>
      <c r="FX31" s="80"/>
      <c r="FY31" s="80"/>
      <c r="FZ31" s="80"/>
      <c r="GA31" s="81"/>
      <c r="GB31" s="81"/>
      <c r="GC31" s="81"/>
      <c r="GD31" s="81"/>
      <c r="GE31" s="81"/>
      <c r="GF31" s="81"/>
      <c r="GG31" s="81"/>
      <c r="GH31" s="81"/>
      <c r="GI31" s="81"/>
      <c r="GJ31" s="81"/>
      <c r="GK31" s="24"/>
      <c r="GL31" s="24"/>
      <c r="GM31" s="24"/>
      <c r="GN31" s="24"/>
      <c r="GO31" s="5" t="s">
        <v>300</v>
      </c>
      <c r="GQ31" s="5" t="s">
        <v>301</v>
      </c>
      <c r="GU31" s="24"/>
      <c r="GV31" s="24"/>
      <c r="GW31" s="24"/>
      <c r="GX31" s="24"/>
      <c r="GY31" s="24"/>
      <c r="GZ31" s="24"/>
      <c r="HA31" s="24"/>
      <c r="HB31" s="24"/>
      <c r="HC31" s="24"/>
      <c r="HD31" s="24"/>
      <c r="HE31" s="24"/>
      <c r="HF31" s="24"/>
      <c r="HG31" s="24"/>
      <c r="HH31" s="24"/>
      <c r="HI31" s="24"/>
      <c r="HJ31" s="24"/>
      <c r="HK31" s="24"/>
      <c r="HL31" s="24"/>
      <c r="HW31" s="24"/>
      <c r="HX31" s="24"/>
      <c r="HY31" s="24"/>
      <c r="HZ31" s="24"/>
      <c r="IA31" s="24"/>
      <c r="IB31" s="24"/>
      <c r="IM31" s="24"/>
      <c r="IN31" s="24"/>
      <c r="IO31" s="24"/>
      <c r="IP31" s="24"/>
      <c r="IQ31" s="24"/>
      <c r="IR31" s="24"/>
      <c r="IS31" s="24"/>
      <c r="IT31" s="24"/>
      <c r="IU31" s="24"/>
      <c r="IV31" s="24"/>
    </row>
    <row r="32" spans="2:256" ht="24.95" customHeight="1" thickBot="1">
      <c r="B32" s="766" t="str">
        <f>+IF('Sıvılaşma Potansiyeli Analizi'!B31="","",'Sıvılaşma Potansiyeli Analizi'!B31)</f>
        <v>15 -</v>
      </c>
      <c r="C32" s="767"/>
      <c r="D32" s="767"/>
      <c r="E32" s="768">
        <f>+IF('Sıvılaşma Potansiyeli Analizi'!E31="","",'Sıvılaşma Potansiyeli Analizi'!E31)</f>
        <v>12.5</v>
      </c>
      <c r="F32" s="769"/>
      <c r="G32" s="769"/>
      <c r="H32" s="770"/>
      <c r="I32" s="771">
        <f>+IF('Sıvılaşma Potansiyeli Analizi'!I31="","",'Sıvılaşma Potansiyeli Analizi'!I31)</f>
        <v>20</v>
      </c>
      <c r="J32" s="771"/>
      <c r="K32" s="771"/>
      <c r="L32" s="772" t="str">
        <f>+IF('Sıvılaşma Potansiyeli Analizi'!L31="","",'Sıvılaşma Potansiyeli Analizi'!L31)</f>
        <v/>
      </c>
      <c r="M32" s="773"/>
      <c r="N32" s="773"/>
      <c r="O32" s="773"/>
      <c r="P32" s="773"/>
      <c r="Q32" s="774" t="str">
        <f>+IF('Sıvılaşma Potansiyeli Analizi'!Q31="","",'Sıvılaşma Potansiyeli Analizi'!Q31)</f>
        <v/>
      </c>
      <c r="R32" s="775"/>
      <c r="S32" s="775"/>
      <c r="T32" s="775"/>
      <c r="U32" s="776"/>
      <c r="V32" s="777">
        <f>+IF('Sıvılaşma Potansiyeli Analizi'!AQ31="","",'Sıvılaşma Potansiyeli Analizi'!AQ31)</f>
        <v>144.995</v>
      </c>
      <c r="W32" s="777"/>
      <c r="X32" s="777"/>
      <c r="Y32" s="777"/>
      <c r="Z32" s="761">
        <f>+IF('Sıvılaşma Potansiyeli Analizi'!CN31="","",'Sıvılaşma Potansiyeli Analizi'!CN31)</f>
        <v>1.56</v>
      </c>
      <c r="AA32" s="762"/>
      <c r="AB32" s="762"/>
      <c r="AC32" s="763"/>
      <c r="AD32" s="764" t="str">
        <f>+IF('Sıvılaşma Potansiyeli Analizi'!CR31="","",'Sıvılaşma Potansiyeli Analizi'!CR31)</f>
        <v>Sıvılaşma Yok</v>
      </c>
      <c r="AE32" s="764"/>
      <c r="AF32" s="764"/>
      <c r="AG32" s="764"/>
      <c r="AH32" s="764"/>
      <c r="AI32" s="764"/>
      <c r="AJ32" s="764"/>
      <c r="AK32" s="764"/>
      <c r="AL32" s="764"/>
      <c r="AM32" s="764"/>
      <c r="AN32" s="765"/>
      <c r="AO32" s="193">
        <f>IF(E32="","",IF(Z32="-","-",IF('Sıvılaşma Potansiyeli Analizi'!BJ31&gt;30,0,MAX(0,MIN(0.5,1.859*(1.1-SQRT('Sıvılaşma Potansiyeli Analizi'!BN31/46))^3)))))</f>
        <v>9.4398685371611266E-2</v>
      </c>
      <c r="AP32" s="592"/>
      <c r="AQ32" s="194"/>
      <c r="AR32" s="194"/>
      <c r="AS32" s="194"/>
      <c r="AT32" s="194">
        <f>IF(E32="","", IF(Z32="-","-",IF('Sıvılaşma Potansiyeli Analizi'!BN31&gt;30,0,0.032+0.69*SQRT(MAX(7,'Sıvılaşma Potansiyeli Analizi'!BN31))-0.13*MAX(7,'Sıvılaşma Potansiyeli Analizi'!BN31))))</f>
        <v>0.26276161383906427</v>
      </c>
      <c r="AU32" s="194"/>
      <c r="AV32" s="194"/>
      <c r="AW32" s="194"/>
      <c r="AX32" s="194"/>
      <c r="AY32" s="194">
        <f t="shared" si="2"/>
        <v>8.7520314446429704E-3</v>
      </c>
      <c r="AZ32" s="194"/>
      <c r="BA32" s="194"/>
      <c r="BB32" s="194"/>
      <c r="BC32" s="194"/>
      <c r="BD32" s="752">
        <f>IF('Sıvılaşma Potansiyeli Analizi'!E31="","",IF('Sıvılaşma Potansiyeli Analizi'!CN31="-","-",IF('Sıvılaşma Potansiyeli Analizi'!CN31&gt;1.1,0,IF('Sıvılaşma Potansiyeli Analizi'!E32="",('Sıvılaşma Potansiyeli Analizi'!$E$33-'Sıvılaşma Potansiyeli Analizi'!E31)+(('Sıvılaşma Potansiyeli Analizi'!E31-'Sıvılaşma Potansiyeli Analizi'!E30)/2),IF(AND(BD31=0,'Sıvılaşma Potansiyeli Analizi'!$BC$8&lt;'Sıvılaşma Potansiyeli Analizi'!E31,'Sıvılaşma Potansiyeli Analizi'!$BC$8&gt;='Sıvılaşma Potansiyeli Analizi'!E30),(('Sıvılaşma Potansiyeli Analizi'!E32-'Sıvılaşma Potansiyeli Analizi'!E31)/2)+('Sıvılaşma Potansiyeli Analizi'!E31-'Sıvılaşma Potansiyeli Analizi'!$BC$8),(('Sıvılaşma Potansiyeli Analizi'!E32-'Sıvılaşma Potansiyeli Analizi'!E31)/2)+(('Sıvılaşma Potansiyeli Analizi'!E31-'Sıvılaşma Potansiyeli Analizi'!E30)/2))))))</f>
        <v>0</v>
      </c>
      <c r="BE32" s="753"/>
      <c r="BF32" s="753"/>
      <c r="BG32" s="753"/>
      <c r="BH32" s="754"/>
      <c r="BI32" s="194">
        <f t="shared" si="3"/>
        <v>0</v>
      </c>
      <c r="BJ32" s="194"/>
      <c r="BK32" s="194"/>
      <c r="BL32" s="194"/>
      <c r="BM32" s="194"/>
      <c r="BN32" s="194">
        <f>IF(E32="","",IF(Z32="-","-",IF(Z32&gt;2,0,IF('Sıvılaşma Potansiyeli Analizi'!BN31&gt;30,0,1.5*EXP(-0.369*SQRT('Sıvılaşma Potansiyeli Analizi'!BN31))*MIN(0.08,AY32)))))</f>
        <v>2.1139613505397636E-3</v>
      </c>
      <c r="BO32" s="194"/>
      <c r="BP32" s="194"/>
      <c r="BQ32" s="194"/>
      <c r="BR32" s="194"/>
      <c r="BS32" s="194">
        <f t="shared" si="4"/>
        <v>0</v>
      </c>
      <c r="BT32" s="194"/>
      <c r="BU32" s="194"/>
      <c r="BV32" s="591"/>
      <c r="BW32" s="193">
        <f>IF(E32="","",IF(Z32="-","-",(0.65*$CE$9*0.4*('Sıvılaşma Potansiyeli Analizi'!AM31/'Sıvılaşma Potansiyeli Analizi'!AQ31)*'Sıvılaşma Potansiyeli Analizi'!CF31)/(2.5-0.2*$AW$9)))</f>
        <v>0.21797029782636179</v>
      </c>
      <c r="BX32" s="194"/>
      <c r="BY32" s="194"/>
      <c r="BZ32" s="194"/>
      <c r="CA32" s="604"/>
      <c r="CB32" s="194">
        <f>IF(E32="","",IF(Z32="-","-",IF((BW32/'Sıvılaşma Potansiyeli Analizi'!BJ31)&gt;0.01,('Sıvılaşma Potansiyeli Analizi'!BJ31^(-0.6)*10*0.01),"-")))</f>
        <v>1.8775201109446138E-2</v>
      </c>
      <c r="CC32" s="194"/>
      <c r="CD32" s="194"/>
      <c r="CE32" s="194"/>
      <c r="CF32" s="194"/>
      <c r="CG32" s="182">
        <f t="shared" si="5"/>
        <v>0</v>
      </c>
      <c r="CH32" s="158"/>
      <c r="CI32" s="182"/>
      <c r="CJ32" s="183"/>
      <c r="CK32" s="588">
        <f>IF(E32="","",IF(Z32="-","-",IF('Sıvılaşma Potansiyeli Analizi'!AI31&lt;10,1,IF('Sıvılaşma Potansiyeli Analizi'!AI31&lt;25,2,IF('Sıvılaşma Potansiyeli Analizi'!AI31&lt;50,4,5)))))</f>
        <v>5</v>
      </c>
      <c r="CL32" s="589"/>
      <c r="CM32" s="589"/>
      <c r="CN32" s="590">
        <f t="shared" si="0"/>
        <v>37.931410634403456</v>
      </c>
      <c r="CO32" s="589"/>
      <c r="CP32" s="589"/>
      <c r="CQ32" s="584" t="str">
        <f>IF(E32="","",IF(Z32&gt;=1.1,"-",IF(((EXP(('Sıvılaşma Potansiyeli Analizi'!BJ31+CK32)/16+(('Sıvılaşma Potansiyeli Analizi'!BJ31+CK32-16)/21.2)^3-3))*(1+EXP(('Sıvılaşma Potansiyeli Analizi'!BJ31+CK32)/2.4-6.6)))&lt;=TAN(RADIANS(CN32)),((EXP(('Sıvılaşma Potansiyeli Analizi'!BJ31+CK32)/16+(('Sıvılaşma Potansiyeli Analizi'!BJ31+CK32-16)/21.2)^3-3))*(1+EXP(('Sıvılaşma Potansiyeli Analizi'!BJ31+CK32)/2.4-6.6))),TAN(RADIANS(CN32)))))</f>
        <v>-</v>
      </c>
      <c r="CR32" s="585"/>
      <c r="CS32" s="585"/>
      <c r="CT32" s="585"/>
      <c r="CU32" s="584" t="str">
        <f>IF(E32="","",IF(Z32&gt;=1.1,"-",IF(((EXP(('Sıvılaşma Potansiyeli Analizi'!BJ31+CK32)/16+(('Sıvılaşma Potansiyeli Analizi'!BJ31+CK32-16)/21.2)^3-3)))&lt;=TAN(RADIANS(CN32)),((EXP(('Sıvılaşma Potansiyeli Analizi'!BJ31+CK32)/16+(('Sıvılaşma Potansiyeli Analizi'!BJ31+CK32-16)/21.2)^3-3))),TAN(RADIANS(CN32)))))</f>
        <v>-</v>
      </c>
      <c r="CV32" s="585"/>
      <c r="CW32" s="585"/>
      <c r="CX32" s="585"/>
      <c r="CY32" s="586">
        <f t="shared" si="1"/>
        <v>1.4311006499999999</v>
      </c>
      <c r="CZ32" s="587"/>
      <c r="DA32" s="587"/>
      <c r="DB32" s="587"/>
      <c r="DC32" s="565">
        <f>IF(E32="","",IF(Z32="-","-",EXP(-8.444+0.109*'Sıvılaşma Potansiyeli Analizi'!BJ31+5.379*(CY32^0.1))*101.33))</f>
        <v>33.793889918306768</v>
      </c>
      <c r="DD32" s="566"/>
      <c r="DE32" s="566"/>
      <c r="DF32" s="566"/>
      <c r="DG32" s="566"/>
      <c r="DH32" s="567"/>
      <c r="DI32" s="566" t="str">
        <f>IF(E32="","",IF(Z32&gt;=1.1,"-",(EXP((0.1292*'Sıvılaşma Potansiyeli Analizi'!BN31)+(4.322*(V32*0.01)^0.12)))*0.04788))</f>
        <v>-</v>
      </c>
      <c r="DJ32" s="566"/>
      <c r="DK32" s="566"/>
      <c r="DL32" s="566"/>
      <c r="DM32" s="566"/>
      <c r="DN32" s="567"/>
      <c r="DO32" s="178" t="str">
        <f t="shared" si="6"/>
        <v>-</v>
      </c>
      <c r="DP32" s="157"/>
      <c r="DQ32" s="157"/>
      <c r="DR32" s="157"/>
      <c r="DS32" s="157"/>
      <c r="DT32" s="157"/>
      <c r="DU32" s="157"/>
      <c r="DV32" s="157"/>
      <c r="DW32" s="158"/>
      <c r="DX32" s="564"/>
      <c r="DY32" s="564"/>
      <c r="DZ32" s="564"/>
      <c r="EA32" s="564"/>
      <c r="EB32" s="564"/>
      <c r="EC32" s="564"/>
      <c r="ED32" s="572"/>
      <c r="EE32" s="572"/>
      <c r="EF32" s="572"/>
      <c r="EG32" s="572"/>
      <c r="EH32" s="572"/>
      <c r="EI32" s="573"/>
      <c r="EL32" s="49"/>
      <c r="EM32" s="49"/>
      <c r="EN32" s="49"/>
      <c r="EO32" s="49"/>
      <c r="EP32" s="49"/>
      <c r="EQ32" s="49"/>
      <c r="ER32" s="49"/>
      <c r="ES32" s="49"/>
      <c r="ET32" s="49"/>
      <c r="EU32" s="49"/>
      <c r="EV32" s="49"/>
      <c r="EW32" s="49"/>
      <c r="FA32" s="24"/>
      <c r="FB32" s="49"/>
      <c r="FG32" s="79"/>
      <c r="FN32" s="80"/>
      <c r="FO32" s="80"/>
      <c r="FP32" s="80"/>
      <c r="FQ32" s="80"/>
      <c r="FR32" s="80"/>
      <c r="FS32" s="80"/>
      <c r="FT32" s="80"/>
      <c r="FU32" s="80"/>
      <c r="FV32" s="80"/>
      <c r="FW32" s="80"/>
      <c r="FX32" s="80"/>
      <c r="FY32" s="80"/>
      <c r="FZ32" s="80"/>
      <c r="GA32" s="81"/>
      <c r="GB32" s="81"/>
      <c r="GC32" s="81"/>
      <c r="GD32" s="81"/>
      <c r="GE32" s="81"/>
      <c r="GF32" s="81"/>
      <c r="GG32" s="81"/>
      <c r="GH32" s="81"/>
      <c r="GI32" s="81"/>
      <c r="GJ32" s="81"/>
      <c r="GK32" s="24"/>
      <c r="GL32" s="24"/>
      <c r="GM32" s="24"/>
      <c r="GN32" s="24"/>
      <c r="GO32" s="5" t="s">
        <v>302</v>
      </c>
      <c r="GQ32" s="5" t="s">
        <v>303</v>
      </c>
      <c r="GW32" s="24"/>
      <c r="GX32" s="24"/>
      <c r="GY32" s="24"/>
      <c r="GZ32" s="24"/>
      <c r="HA32" s="24"/>
      <c r="HB32" s="24"/>
      <c r="HC32" s="24"/>
      <c r="HD32" s="24"/>
      <c r="HE32" s="24"/>
      <c r="HF32" s="24"/>
      <c r="HG32" s="24"/>
      <c r="HH32" s="24"/>
      <c r="HI32" s="24"/>
      <c r="HJ32" s="24"/>
      <c r="HK32" s="24"/>
      <c r="HL32" s="24"/>
      <c r="HW32" s="24"/>
      <c r="HX32" s="24"/>
      <c r="HY32" s="24"/>
      <c r="HZ32" s="24"/>
      <c r="IA32" s="24"/>
      <c r="IB32" s="24"/>
      <c r="IM32" s="24"/>
      <c r="IN32" s="24"/>
      <c r="IO32" s="24"/>
      <c r="IP32" s="24"/>
      <c r="IQ32" s="24"/>
      <c r="IR32" s="24"/>
      <c r="IS32" s="24"/>
      <c r="IT32" s="24"/>
      <c r="IU32" s="24"/>
      <c r="IV32" s="24"/>
    </row>
    <row r="33" spans="2:256" ht="24.95" customHeight="1" thickTop="1">
      <c r="B33" s="755" t="s">
        <v>206</v>
      </c>
      <c r="C33" s="756"/>
      <c r="D33" s="757"/>
      <c r="E33" s="758">
        <f>+IF('Sıvılaşma Potansiyeli Analizi'!$E$33="","",'Sıvılaşma Potansiyeli Analizi'!$E$33)</f>
        <v>14</v>
      </c>
      <c r="F33" s="759"/>
      <c r="G33" s="759"/>
      <c r="H33" s="760"/>
      <c r="I33" s="810" t="s">
        <v>326</v>
      </c>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810"/>
      <c r="AM33" s="810"/>
      <c r="AN33" s="811"/>
      <c r="AO33" s="812"/>
      <c r="AP33" s="813"/>
      <c r="AQ33" s="814"/>
      <c r="AR33" s="814"/>
      <c r="AS33" s="814"/>
      <c r="AT33" s="814"/>
      <c r="AU33" s="814"/>
      <c r="AV33" s="814"/>
      <c r="AW33" s="814"/>
      <c r="AX33" s="814"/>
      <c r="AY33" s="814"/>
      <c r="AZ33" s="814"/>
      <c r="BA33" s="814"/>
      <c r="BB33" s="814"/>
      <c r="BC33" s="815"/>
      <c r="BD33" s="788">
        <f>+SUM(BI18:BM32)</f>
        <v>2.4695781534915424</v>
      </c>
      <c r="BE33" s="789"/>
      <c r="BF33" s="789"/>
      <c r="BG33" s="789"/>
      <c r="BH33" s="789"/>
      <c r="BI33" s="789"/>
      <c r="BJ33" s="789"/>
      <c r="BK33" s="789"/>
      <c r="BL33" s="789"/>
      <c r="BM33" s="790"/>
      <c r="BN33" s="786">
        <f>+SUM(BS18:BV32)</f>
        <v>0.2349856584745591</v>
      </c>
      <c r="BO33" s="786"/>
      <c r="BP33" s="786"/>
      <c r="BQ33" s="786"/>
      <c r="BR33" s="786"/>
      <c r="BS33" s="786"/>
      <c r="BT33" s="786"/>
      <c r="BU33" s="786"/>
      <c r="BV33" s="787"/>
      <c r="BW33" s="603"/>
      <c r="BX33" s="194"/>
      <c r="BY33" s="194"/>
      <c r="BZ33" s="194"/>
      <c r="CA33" s="604"/>
      <c r="CB33" s="605">
        <f>+SUM(CG18:CJ32)</f>
        <v>0.17103296856012745</v>
      </c>
      <c r="CC33" s="606"/>
      <c r="CD33" s="606"/>
      <c r="CE33" s="606"/>
      <c r="CF33" s="606"/>
      <c r="CG33" s="606"/>
      <c r="CH33" s="606"/>
      <c r="CI33" s="606"/>
      <c r="CJ33" s="607"/>
      <c r="CK33" s="791"/>
      <c r="CL33" s="792"/>
      <c r="CM33" s="792"/>
      <c r="CN33" s="793"/>
      <c r="CO33" s="792"/>
      <c r="CP33" s="792"/>
      <c r="CQ33" s="584"/>
      <c r="CR33" s="585"/>
      <c r="CS33" s="585"/>
      <c r="CT33" s="585"/>
      <c r="CU33" s="584"/>
      <c r="CV33" s="585"/>
      <c r="CW33" s="585"/>
      <c r="CX33" s="585"/>
      <c r="CY33" s="586"/>
      <c r="CZ33" s="587"/>
      <c r="DA33" s="587"/>
      <c r="DB33" s="587"/>
      <c r="DC33" s="574"/>
      <c r="DD33" s="575"/>
      <c r="DE33" s="575"/>
      <c r="DF33" s="575"/>
      <c r="DG33" s="575"/>
      <c r="DH33" s="576"/>
      <c r="DI33" s="106"/>
      <c r="DJ33" s="106"/>
      <c r="DK33" s="106"/>
      <c r="DL33" s="106"/>
      <c r="DM33" s="106"/>
      <c r="DN33" s="107"/>
      <c r="DO33" s="579">
        <f>+SUM(DO18:DU32)</f>
        <v>6.8999999999999995</v>
      </c>
      <c r="DP33" s="580"/>
      <c r="DQ33" s="580"/>
      <c r="DR33" s="580"/>
      <c r="DS33" s="580"/>
      <c r="DT33" s="580"/>
      <c r="DU33" s="580"/>
      <c r="DV33" s="580"/>
      <c r="DW33" s="581"/>
      <c r="DX33" s="784" t="s">
        <v>332</v>
      </c>
      <c r="DY33" s="784"/>
      <c r="DZ33" s="784"/>
      <c r="EA33" s="784"/>
      <c r="EB33" s="784"/>
      <c r="EC33" s="784"/>
      <c r="ED33" s="784"/>
      <c r="EE33" s="784"/>
      <c r="EF33" s="784"/>
      <c r="EG33" s="784"/>
      <c r="EH33" s="784"/>
      <c r="EI33" s="785"/>
      <c r="EL33" s="86"/>
      <c r="EM33" s="86"/>
      <c r="EN33" s="86"/>
      <c r="EO33" s="86"/>
      <c r="EP33" s="86"/>
      <c r="EQ33" s="50"/>
      <c r="ER33" s="50"/>
      <c r="ES33" s="50"/>
      <c r="ET33" s="50"/>
      <c r="EU33" s="50"/>
      <c r="EV33" s="50"/>
      <c r="EW33" s="50"/>
      <c r="EY33" s="60"/>
      <c r="EZ33" s="60"/>
      <c r="FA33" s="60"/>
      <c r="FB33" s="24"/>
      <c r="FG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50"/>
      <c r="GL33" s="50"/>
      <c r="GM33" s="50"/>
      <c r="GN33" s="50"/>
      <c r="GO33" s="50"/>
      <c r="GP33" s="50"/>
      <c r="GW33" s="82"/>
      <c r="GX33" s="82"/>
      <c r="GY33" s="82"/>
      <c r="GZ33" s="82"/>
      <c r="HA33" s="83"/>
      <c r="HB33" s="83"/>
      <c r="HC33" s="83"/>
      <c r="HD33" s="83"/>
      <c r="HE33" s="84"/>
      <c r="HF33" s="84"/>
      <c r="HG33" s="84"/>
      <c r="HH33" s="84"/>
      <c r="HI33" s="83"/>
      <c r="HJ33" s="83"/>
      <c r="HK33" s="83"/>
      <c r="HL33" s="83"/>
      <c r="HW33" s="24"/>
      <c r="HX33" s="24"/>
      <c r="HY33" s="24"/>
      <c r="HZ33" s="24"/>
      <c r="IA33" s="24"/>
      <c r="IB33" s="24"/>
      <c r="IC33" s="24"/>
      <c r="ID33" s="24"/>
      <c r="IE33" s="24"/>
      <c r="IF33" s="53"/>
      <c r="IG33" s="53"/>
      <c r="IH33" s="53"/>
      <c r="II33" s="53"/>
      <c r="IJ33" s="53"/>
      <c r="IK33" s="53"/>
      <c r="IL33" s="53"/>
      <c r="IM33" s="24"/>
      <c r="IN33" s="24"/>
      <c r="IO33" s="24"/>
      <c r="IP33" s="24"/>
      <c r="IQ33" s="24"/>
      <c r="IR33" s="24"/>
      <c r="IS33" s="24"/>
      <c r="IT33" s="24"/>
      <c r="IU33" s="24"/>
      <c r="IV33" s="24"/>
    </row>
    <row r="34" spans="2:256" s="5" customFormat="1" ht="3" customHeight="1">
      <c r="B34" s="108"/>
      <c r="C34" s="109"/>
      <c r="D34" s="109"/>
      <c r="E34" s="110"/>
      <c r="F34" s="110"/>
      <c r="G34" s="110"/>
      <c r="H34" s="110"/>
      <c r="I34" s="111"/>
      <c r="J34" s="111"/>
      <c r="K34" s="111"/>
      <c r="L34" s="111"/>
      <c r="M34" s="111"/>
      <c r="N34" s="111"/>
      <c r="O34" s="111"/>
      <c r="P34" s="111"/>
      <c r="Q34" s="110"/>
      <c r="R34" s="110"/>
      <c r="S34" s="110"/>
      <c r="T34" s="110"/>
      <c r="U34" s="110"/>
      <c r="V34" s="112"/>
      <c r="W34" s="112"/>
      <c r="X34" s="112"/>
      <c r="Y34" s="112"/>
      <c r="Z34" s="113"/>
      <c r="AA34" s="113"/>
      <c r="AB34" s="113"/>
      <c r="AC34" s="113"/>
      <c r="AD34" s="113"/>
      <c r="AE34" s="113"/>
      <c r="AF34" s="113"/>
      <c r="AG34" s="113"/>
      <c r="AH34" s="113"/>
      <c r="AI34" s="113"/>
      <c r="AJ34" s="113"/>
      <c r="AK34" s="113"/>
      <c r="AL34" s="113"/>
      <c r="AM34" s="110"/>
      <c r="AN34" s="110"/>
      <c r="AO34" s="110"/>
      <c r="AP34" s="110"/>
      <c r="AQ34" s="110"/>
      <c r="AR34" s="110"/>
      <c r="AS34" s="110"/>
      <c r="AT34" s="110"/>
      <c r="AU34" s="110"/>
      <c r="AV34" s="110"/>
      <c r="AW34" s="114"/>
      <c r="AX34" s="114"/>
      <c r="AY34" s="114"/>
      <c r="AZ34" s="114"/>
      <c r="BA34" s="115"/>
      <c r="BB34" s="115"/>
      <c r="BC34" s="115"/>
      <c r="BD34" s="114"/>
      <c r="BE34" s="114"/>
      <c r="BF34" s="114"/>
      <c r="BG34" s="114"/>
      <c r="BH34" s="114"/>
      <c r="BI34" s="114"/>
      <c r="BJ34" s="114"/>
      <c r="BK34" s="114"/>
      <c r="BL34" s="114"/>
      <c r="BM34" s="114"/>
      <c r="BN34" s="114"/>
      <c r="BO34" s="116"/>
      <c r="BP34" s="116"/>
      <c r="BQ34" s="116"/>
      <c r="BR34" s="116"/>
      <c r="BS34" s="116"/>
      <c r="BT34" s="116"/>
      <c r="BU34" s="116"/>
      <c r="BV34" s="116"/>
      <c r="BW34" s="116"/>
      <c r="BX34" s="116"/>
      <c r="BY34" s="116"/>
      <c r="BZ34" s="116"/>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7"/>
      <c r="DQ34" s="117"/>
      <c r="DR34" s="117"/>
      <c r="DS34" s="117"/>
      <c r="DT34" s="117"/>
      <c r="DU34" s="117"/>
      <c r="DV34" s="117"/>
      <c r="DW34" s="117"/>
      <c r="DX34" s="117"/>
      <c r="DY34" s="117"/>
      <c r="DZ34" s="117"/>
      <c r="EA34" s="117"/>
      <c r="EB34" s="118"/>
      <c r="EC34" s="118"/>
      <c r="ED34" s="118"/>
      <c r="EE34" s="118"/>
      <c r="EF34" s="118"/>
      <c r="EG34" s="118"/>
      <c r="EH34" s="119"/>
      <c r="EI34" s="119"/>
      <c r="EJ34" s="119"/>
      <c r="EK34" s="119"/>
      <c r="EL34" s="94"/>
      <c r="EM34" s="95"/>
      <c r="EN34" s="95"/>
      <c r="EO34" s="95"/>
      <c r="EP34" s="95"/>
      <c r="EQ34" s="94"/>
      <c r="ER34" s="94"/>
      <c r="ES34" s="94"/>
      <c r="ET34" s="94"/>
      <c r="EU34" s="40"/>
      <c r="EV34" s="40"/>
      <c r="EW34" s="40"/>
      <c r="EX34" s="40"/>
      <c r="EY34" s="40"/>
      <c r="EZ34" s="40"/>
      <c r="FA34" s="40"/>
      <c r="FB34" s="41"/>
      <c r="FC34" s="41"/>
      <c r="FD34" s="41"/>
      <c r="FE34" s="41"/>
      <c r="FF34" s="41"/>
      <c r="FG34" s="41"/>
      <c r="FH34" s="41"/>
      <c r="FI34" s="41"/>
      <c r="FJ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row>
    <row r="35" spans="2:256" s="5" customFormat="1" ht="15" customHeight="1">
      <c r="B35" s="778" t="s">
        <v>337</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779"/>
      <c r="BN35" s="779"/>
      <c r="BO35" s="779"/>
      <c r="BP35" s="779"/>
      <c r="BQ35" s="779"/>
      <c r="BR35" s="779"/>
      <c r="BS35" s="779"/>
      <c r="BT35" s="779"/>
      <c r="BU35" s="779"/>
      <c r="BV35" s="779"/>
      <c r="BW35" s="779"/>
      <c r="BX35" s="779"/>
      <c r="BY35" s="779"/>
      <c r="BZ35" s="779"/>
      <c r="CA35" s="779"/>
      <c r="CB35" s="779"/>
      <c r="CC35" s="779"/>
      <c r="CD35" s="779"/>
      <c r="CE35" s="779"/>
      <c r="CF35" s="779"/>
      <c r="CG35" s="779"/>
      <c r="CH35" s="779"/>
      <c r="CI35" s="779"/>
      <c r="CJ35" s="779"/>
      <c r="CK35" s="779"/>
      <c r="CL35" s="779"/>
      <c r="CM35" s="779"/>
      <c r="CN35" s="779"/>
      <c r="CO35" s="779"/>
      <c r="CP35" s="779"/>
      <c r="CQ35" s="779"/>
      <c r="CR35" s="779"/>
      <c r="CS35" s="779"/>
      <c r="CT35" s="779"/>
      <c r="CU35" s="779"/>
      <c r="CV35" s="779"/>
      <c r="CW35" s="779"/>
      <c r="CX35" s="779"/>
      <c r="CY35" s="779"/>
      <c r="CZ35" s="779"/>
      <c r="DA35" s="779"/>
      <c r="DB35" s="779"/>
      <c r="DC35" s="779"/>
      <c r="DD35" s="779"/>
      <c r="DE35" s="779"/>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80"/>
      <c r="EJ35" s="139"/>
      <c r="EK35" s="139"/>
      <c r="EL35" s="93"/>
      <c r="EM35" s="93"/>
      <c r="EN35" s="93"/>
      <c r="EO35" s="93"/>
      <c r="EP35" s="93"/>
      <c r="EQ35" s="93"/>
      <c r="ER35" s="93"/>
      <c r="ES35" s="93"/>
      <c r="ET35" s="93"/>
      <c r="EU35" s="93"/>
      <c r="EV35" s="93"/>
      <c r="EW35" s="93"/>
      <c r="EX35" s="42"/>
      <c r="EY35" s="42"/>
      <c r="EZ35" s="42"/>
      <c r="FA35" s="42"/>
      <c r="FB35" s="42"/>
      <c r="FC35" s="42"/>
      <c r="FD35" s="42"/>
      <c r="FE35" s="42"/>
      <c r="FF35" s="42"/>
      <c r="FG35" s="42"/>
      <c r="FH35" s="42"/>
      <c r="FI35" s="42"/>
      <c r="FJ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row>
    <row r="36" spans="2:256" s="5" customFormat="1" ht="15" customHeight="1" thickBot="1">
      <c r="B36" s="781"/>
      <c r="C36" s="782"/>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2"/>
      <c r="CI36" s="782"/>
      <c r="CJ36" s="782"/>
      <c r="CK36" s="782"/>
      <c r="CL36" s="782"/>
      <c r="CM36" s="782"/>
      <c r="CN36" s="782"/>
      <c r="CO36" s="782"/>
      <c r="CP36" s="782"/>
      <c r="CQ36" s="782"/>
      <c r="CR36" s="782"/>
      <c r="CS36" s="782"/>
      <c r="CT36" s="782"/>
      <c r="CU36" s="782"/>
      <c r="CV36" s="782"/>
      <c r="CW36" s="782"/>
      <c r="CX36" s="782"/>
      <c r="CY36" s="782"/>
      <c r="CZ36" s="782"/>
      <c r="DA36" s="782"/>
      <c r="DB36" s="782"/>
      <c r="DC36" s="782"/>
      <c r="DD36" s="782"/>
      <c r="DE36" s="782"/>
      <c r="DF36" s="782"/>
      <c r="DG36" s="782"/>
      <c r="DH36" s="782"/>
      <c r="DI36" s="782"/>
      <c r="DJ36" s="782"/>
      <c r="DK36" s="782"/>
      <c r="DL36" s="782"/>
      <c r="DM36" s="782"/>
      <c r="DN36" s="782"/>
      <c r="DO36" s="782"/>
      <c r="DP36" s="782"/>
      <c r="DQ36" s="782"/>
      <c r="DR36" s="782"/>
      <c r="DS36" s="782"/>
      <c r="DT36" s="782"/>
      <c r="DU36" s="782"/>
      <c r="DV36" s="782"/>
      <c r="DW36" s="782"/>
      <c r="DX36" s="782"/>
      <c r="DY36" s="782"/>
      <c r="DZ36" s="782"/>
      <c r="EA36" s="782"/>
      <c r="EB36" s="782"/>
      <c r="EC36" s="782"/>
      <c r="ED36" s="782"/>
      <c r="EE36" s="782"/>
      <c r="EF36" s="782"/>
      <c r="EG36" s="782"/>
      <c r="EH36" s="782"/>
      <c r="EI36" s="783"/>
      <c r="EJ36" s="139"/>
      <c r="EK36" s="139"/>
      <c r="EL36" s="93"/>
      <c r="EM36" s="93"/>
      <c r="EN36" s="93"/>
      <c r="EO36" s="93"/>
      <c r="EP36" s="93"/>
      <c r="EQ36" s="93"/>
      <c r="ER36" s="93"/>
      <c r="ES36" s="93"/>
      <c r="ET36" s="93"/>
      <c r="EU36" s="93"/>
      <c r="EV36" s="93"/>
      <c r="EW36" s="93"/>
      <c r="EX36" s="42"/>
      <c r="EY36" s="42"/>
      <c r="EZ36" s="42"/>
      <c r="FA36" s="42"/>
      <c r="FB36" s="42"/>
      <c r="FC36" s="42"/>
      <c r="FD36" s="42"/>
      <c r="FE36" s="42"/>
      <c r="FF36" s="42"/>
      <c r="FG36" s="42"/>
      <c r="FH36" s="42"/>
      <c r="FI36" s="42"/>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row>
    <row r="37" spans="2:256" s="5" customFormat="1" ht="9.9499999999999993" customHeight="1" thickTop="1">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358"/>
      <c r="DD37" s="358"/>
      <c r="DE37" s="358"/>
      <c r="DF37" s="358"/>
      <c r="DG37" s="358"/>
      <c r="DH37" s="358"/>
      <c r="DI37" s="358"/>
      <c r="DJ37" s="358"/>
      <c r="DK37" s="358"/>
      <c r="DL37" s="358"/>
      <c r="DM37" s="358"/>
      <c r="DN37" s="358"/>
      <c r="DO37" s="358"/>
      <c r="DP37" s="358"/>
      <c r="DQ37" s="358"/>
      <c r="DR37" s="358"/>
      <c r="DS37" s="358"/>
      <c r="DT37" s="358"/>
      <c r="DU37" s="358"/>
      <c r="DV37" s="358"/>
      <c r="DW37" s="358"/>
      <c r="DX37" s="358"/>
      <c r="DY37" s="358"/>
      <c r="DZ37" s="358"/>
      <c r="EA37" s="358"/>
      <c r="EB37" s="358"/>
      <c r="EC37" s="358"/>
      <c r="ED37" s="358"/>
      <c r="EE37" s="358"/>
      <c r="EF37" s="358"/>
      <c r="EG37" s="358"/>
      <c r="EH37" s="358"/>
      <c r="EI37" s="358"/>
      <c r="EJ37" s="358"/>
      <c r="EK37" s="358"/>
      <c r="EL37" s="358"/>
      <c r="EM37" s="358"/>
      <c r="EN37" s="358"/>
      <c r="EO37" s="358"/>
      <c r="EP37" s="358"/>
      <c r="EQ37" s="358"/>
      <c r="ER37" s="358"/>
      <c r="ES37" s="358"/>
      <c r="ET37" s="358"/>
      <c r="EU37" s="358"/>
      <c r="EV37" s="358"/>
      <c r="EW37" s="358"/>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row>
    <row r="38" spans="2:256" s="5" customFormat="1">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358"/>
      <c r="DQ38" s="358"/>
      <c r="DR38" s="358"/>
      <c r="DS38" s="358"/>
      <c r="DT38" s="358"/>
      <c r="DU38" s="358"/>
      <c r="DV38" s="358"/>
      <c r="DW38" s="358"/>
      <c r="DX38" s="358"/>
      <c r="DY38" s="358"/>
      <c r="DZ38" s="358"/>
      <c r="EA38" s="358"/>
      <c r="EB38" s="358"/>
      <c r="EC38" s="358"/>
      <c r="ED38" s="358"/>
      <c r="EE38" s="358"/>
      <c r="EF38" s="358"/>
      <c r="EG38" s="358"/>
      <c r="EH38" s="358"/>
      <c r="EI38" s="358"/>
      <c r="EJ38" s="358"/>
      <c r="EK38" s="358"/>
      <c r="EL38" s="358"/>
      <c r="EM38" s="358"/>
      <c r="EN38" s="358"/>
      <c r="EO38" s="358"/>
      <c r="EP38" s="358"/>
      <c r="EQ38" s="358"/>
      <c r="ER38" s="358"/>
      <c r="ES38" s="358"/>
      <c r="ET38" s="358"/>
      <c r="EU38" s="358"/>
      <c r="EV38" s="358"/>
      <c r="EW38" s="358"/>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row>
    <row r="39" spans="2:256" s="5" customFormat="1" ht="16.5" customHeight="1">
      <c r="AJ39" s="45"/>
      <c r="AK39" s="45"/>
      <c r="AL39" s="45"/>
      <c r="AM39" s="45"/>
      <c r="DH39" s="46"/>
      <c r="DI39" s="24"/>
      <c r="DJ39" s="24"/>
      <c r="DK39" s="24"/>
      <c r="DL39" s="24"/>
      <c r="EQ39" s="27"/>
      <c r="ER39" s="27"/>
      <c r="ES39" s="27"/>
      <c r="ET39" s="27"/>
      <c r="EU39" s="27"/>
      <c r="EV39" s="27"/>
      <c r="EW39" s="27"/>
      <c r="EX39" s="27"/>
      <c r="EY39" s="27"/>
      <c r="EZ39" s="27"/>
      <c r="FA39" s="27"/>
      <c r="FB39" s="27"/>
      <c r="FC39" s="27"/>
      <c r="FD39" s="27"/>
      <c r="FE39" s="27"/>
      <c r="FF39" s="27"/>
      <c r="FG39" s="27"/>
      <c r="FH39" s="27"/>
      <c r="FI39" s="27"/>
      <c r="FJ39" s="27"/>
      <c r="GY39" s="129"/>
      <c r="GZ39" s="129"/>
      <c r="HA39" s="129"/>
      <c r="HB39" s="129"/>
      <c r="HC39" s="129"/>
      <c r="HD39" s="129"/>
      <c r="HE39" s="129"/>
      <c r="HF39" s="129"/>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row>
    <row r="40" spans="2:256" s="5" customFormat="1">
      <c r="AJ40" s="47"/>
      <c r="AK40" s="48"/>
      <c r="AL40" s="48"/>
      <c r="AM40" s="48"/>
      <c r="DH40" s="46"/>
      <c r="DI40" s="24"/>
      <c r="DJ40" s="24"/>
      <c r="DK40" s="24"/>
      <c r="DL40" s="24"/>
      <c r="EQ40" s="27"/>
      <c r="ER40" s="27"/>
      <c r="ES40" s="27"/>
      <c r="ET40" s="27"/>
      <c r="EU40" s="27"/>
      <c r="EV40" s="27"/>
      <c r="EW40" s="27"/>
      <c r="EX40" s="27"/>
      <c r="EY40" s="27"/>
      <c r="EZ40" s="27"/>
      <c r="FA40" s="27"/>
      <c r="FB40" s="27"/>
      <c r="FC40" s="27"/>
      <c r="FD40" s="27"/>
      <c r="FE40" s="27"/>
      <c r="FF40" s="27"/>
      <c r="FG40" s="27"/>
      <c r="FH40" s="27"/>
      <c r="FI40" s="27"/>
      <c r="FJ40" s="27"/>
      <c r="GY40" s="129"/>
      <c r="GZ40" s="129"/>
      <c r="HA40" s="129"/>
      <c r="HB40" s="129"/>
      <c r="HC40" s="129"/>
      <c r="HD40" s="129"/>
      <c r="HE40" s="129"/>
      <c r="HF40" s="129"/>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row>
    <row r="41" spans="2:256" s="5" customFormat="1" ht="18.95" customHeight="1">
      <c r="AJ41" s="49"/>
      <c r="AK41" s="49"/>
      <c r="AL41" s="49"/>
      <c r="AM41" s="49"/>
      <c r="DH41" s="44"/>
      <c r="DI41" s="24"/>
      <c r="DJ41" s="24"/>
      <c r="DK41" s="24"/>
      <c r="DL41" s="24"/>
      <c r="EQ41" s="43"/>
      <c r="ER41" s="44"/>
      <c r="ES41" s="44"/>
      <c r="ET41" s="44"/>
      <c r="EU41" s="44"/>
      <c r="EV41" s="44"/>
      <c r="EW41" s="44"/>
      <c r="EX41" s="44"/>
      <c r="EY41" s="44"/>
      <c r="EZ41" s="44"/>
      <c r="FA41" s="44"/>
      <c r="FB41" s="44"/>
      <c r="FC41" s="44"/>
      <c r="FD41" s="44"/>
      <c r="FE41" s="44"/>
      <c r="FF41" s="44"/>
      <c r="FG41" s="44"/>
      <c r="FH41" s="44"/>
      <c r="FI41" s="44"/>
      <c r="FJ41" s="44"/>
      <c r="GS41" s="136"/>
      <c r="GT41" s="138"/>
      <c r="GU41" s="137"/>
      <c r="GV41" s="129"/>
      <c r="GW41" s="129"/>
      <c r="GX41" s="129"/>
      <c r="GY41" s="129"/>
      <c r="GZ41" s="129"/>
      <c r="HA41" s="129"/>
      <c r="HB41" s="129"/>
      <c r="HC41" s="129"/>
      <c r="HD41" s="129"/>
      <c r="HE41" s="129"/>
      <c r="HF41" s="129"/>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row>
    <row r="42" spans="2:256" s="5" customFormat="1" ht="18.95" customHeight="1">
      <c r="AJ42" s="49"/>
      <c r="AK42" s="49"/>
      <c r="AL42" s="49"/>
      <c r="AM42" s="49"/>
      <c r="DH42" s="50"/>
      <c r="DI42" s="24"/>
      <c r="DJ42" s="24"/>
      <c r="DK42" s="24"/>
      <c r="DL42" s="24"/>
      <c r="EQ42" s="24"/>
      <c r="ER42" s="24"/>
      <c r="ES42" s="24"/>
      <c r="ET42" s="24"/>
      <c r="EU42" s="24"/>
      <c r="EV42" s="24"/>
      <c r="EW42" s="24"/>
      <c r="EX42" s="24"/>
      <c r="EY42" s="24"/>
      <c r="EZ42" s="24"/>
      <c r="FA42" s="24"/>
      <c r="FB42" s="24"/>
      <c r="FC42" s="24"/>
      <c r="FD42" s="24"/>
      <c r="FE42" s="24"/>
      <c r="FF42" s="24"/>
      <c r="FG42" s="24"/>
      <c r="FH42" s="24"/>
      <c r="FI42" s="24"/>
      <c r="FJ42" s="24"/>
    </row>
    <row r="43" spans="2:256" s="5" customFormat="1" ht="18.95" customHeight="1">
      <c r="AJ43" s="49"/>
      <c r="AK43" s="49"/>
      <c r="AL43" s="49"/>
      <c r="AM43" s="49"/>
      <c r="CE43" s="24"/>
      <c r="CF43" s="24"/>
      <c r="CL43" s="24"/>
      <c r="CM43" s="24"/>
      <c r="DH43" s="50"/>
      <c r="DI43" s="24"/>
      <c r="DJ43" s="24"/>
      <c r="DK43" s="24"/>
      <c r="DL43" s="24"/>
      <c r="EQ43" s="24"/>
      <c r="ER43" s="24"/>
      <c r="ES43" s="24"/>
      <c r="ET43" s="24"/>
      <c r="EU43" s="24"/>
      <c r="EV43" s="24"/>
      <c r="EW43" s="24"/>
      <c r="EX43" s="24"/>
      <c r="EY43" s="24"/>
      <c r="EZ43" s="24"/>
      <c r="FA43" s="24"/>
      <c r="FB43" s="24"/>
      <c r="FC43" s="24"/>
      <c r="FD43" s="24"/>
      <c r="FE43" s="24"/>
      <c r="FF43" s="24"/>
      <c r="FG43" s="24"/>
      <c r="FH43" s="24"/>
      <c r="FI43" s="24"/>
      <c r="FJ43" s="24"/>
    </row>
    <row r="44" spans="2:256" s="5" customFormat="1" ht="18.95" customHeight="1">
      <c r="AJ44" s="49"/>
      <c r="AK44" s="49"/>
      <c r="AL44" s="49"/>
      <c r="AM44" s="49"/>
      <c r="CE44" s="24"/>
      <c r="CF44" s="24"/>
      <c r="CL44" s="24"/>
      <c r="CM44" s="24"/>
      <c r="DH44" s="50"/>
      <c r="DI44" s="24"/>
      <c r="DJ44" s="24"/>
      <c r="DK44" s="24"/>
      <c r="DL44" s="24"/>
      <c r="EQ44" s="24"/>
      <c r="ER44" s="24"/>
      <c r="ES44" s="24"/>
      <c r="ET44" s="24"/>
      <c r="EU44" s="24"/>
      <c r="EV44" s="24"/>
      <c r="EW44" s="24"/>
      <c r="EX44" s="24"/>
      <c r="EY44" s="24"/>
      <c r="EZ44" s="24"/>
      <c r="FA44" s="24"/>
      <c r="FB44" s="24"/>
      <c r="FC44" s="24"/>
      <c r="FD44" s="24"/>
      <c r="FE44" s="24"/>
      <c r="FF44" s="24"/>
      <c r="FG44" s="24"/>
      <c r="FH44" s="24"/>
      <c r="FI44" s="24"/>
      <c r="FJ44" s="24"/>
    </row>
    <row r="45" spans="2:256" s="5" customFormat="1" ht="18.95" customHeight="1">
      <c r="AJ45" s="49"/>
      <c r="AK45" s="49"/>
      <c r="AL45" s="49"/>
      <c r="AM45" s="49"/>
      <c r="DH45" s="50"/>
      <c r="DI45" s="24"/>
      <c r="DJ45" s="24"/>
      <c r="DK45" s="24"/>
      <c r="DL45" s="24"/>
      <c r="EQ45" s="24"/>
      <c r="ER45" s="24"/>
      <c r="ES45" s="24"/>
      <c r="ET45" s="24"/>
      <c r="EU45" s="24"/>
      <c r="EV45" s="24"/>
      <c r="EW45" s="24"/>
      <c r="EX45" s="24"/>
      <c r="EY45" s="24"/>
      <c r="EZ45" s="24"/>
      <c r="FA45" s="24"/>
      <c r="FB45" s="24"/>
      <c r="FC45" s="24"/>
      <c r="FD45" s="24"/>
      <c r="FE45" s="24"/>
      <c r="FF45" s="24"/>
      <c r="FG45" s="24"/>
      <c r="FH45" s="24"/>
      <c r="FI45" s="24"/>
      <c r="FJ45" s="24"/>
    </row>
    <row r="46" spans="2:256" s="5" customFormat="1" ht="18.95" customHeight="1">
      <c r="AJ46" s="49"/>
      <c r="AK46" s="49"/>
      <c r="AL46" s="49"/>
      <c r="AM46" s="49"/>
      <c r="DH46" s="50"/>
      <c r="DI46" s="24"/>
      <c r="DJ46" s="24"/>
      <c r="DK46" s="24"/>
      <c r="DL46" s="24"/>
      <c r="EQ46" s="24"/>
      <c r="ER46" s="24"/>
      <c r="ES46" s="24"/>
      <c r="ET46" s="24"/>
      <c r="EU46" s="24"/>
      <c r="EV46" s="24"/>
      <c r="EW46" s="24"/>
      <c r="EX46" s="24"/>
      <c r="EY46" s="24"/>
      <c r="EZ46" s="24"/>
      <c r="FA46" s="24"/>
      <c r="FB46" s="24"/>
      <c r="FC46" s="24"/>
      <c r="FD46" s="24"/>
      <c r="FE46" s="24"/>
      <c r="FF46" s="24"/>
      <c r="FG46" s="24"/>
      <c r="FH46" s="24"/>
      <c r="FI46" s="24"/>
      <c r="FJ46" s="24"/>
    </row>
    <row r="47" spans="2:256" s="5" customFormat="1" ht="18.95" customHeight="1">
      <c r="AJ47" s="49"/>
      <c r="AK47" s="49"/>
      <c r="AL47" s="49"/>
      <c r="AM47" s="49"/>
      <c r="DH47" s="50"/>
      <c r="DI47" s="24"/>
      <c r="DJ47" s="24"/>
      <c r="DK47" s="24"/>
      <c r="DL47" s="24"/>
      <c r="DM47" s="24"/>
      <c r="DN47" s="24"/>
      <c r="DO47" s="24"/>
      <c r="EQ47" s="24"/>
      <c r="ER47" s="24"/>
      <c r="ES47" s="24"/>
      <c r="ET47" s="24"/>
      <c r="EU47" s="24"/>
      <c r="EV47" s="24"/>
      <c r="EW47" s="24"/>
      <c r="EX47" s="24"/>
      <c r="EY47" s="24"/>
      <c r="EZ47" s="24"/>
      <c r="FA47" s="24"/>
      <c r="FB47" s="24"/>
      <c r="FC47" s="24"/>
      <c r="FD47" s="24"/>
      <c r="FE47" s="24"/>
      <c r="FF47" s="24"/>
      <c r="FG47" s="24"/>
      <c r="FH47" s="24"/>
      <c r="FI47" s="24"/>
      <c r="FJ47" s="24"/>
    </row>
    <row r="48" spans="2:256" s="5" customFormat="1" ht="18.95" customHeight="1">
      <c r="AJ48" s="49"/>
      <c r="AK48" s="49"/>
      <c r="AL48" s="49"/>
      <c r="AM48" s="49"/>
      <c r="DH48" s="50"/>
      <c r="DI48" s="24"/>
      <c r="DJ48" s="24"/>
      <c r="DK48" s="24"/>
      <c r="DL48" s="24"/>
      <c r="DM48" s="24"/>
      <c r="DN48" s="24"/>
      <c r="DO48" s="24"/>
      <c r="EQ48" s="24"/>
      <c r="ER48" s="24"/>
      <c r="ES48" s="24"/>
      <c r="ET48" s="24"/>
      <c r="EU48" s="24"/>
      <c r="EV48" s="24"/>
      <c r="EW48" s="24"/>
      <c r="EX48" s="24"/>
      <c r="EY48" s="24"/>
      <c r="EZ48" s="24"/>
      <c r="FA48" s="24"/>
      <c r="FB48" s="24"/>
      <c r="FC48" s="24"/>
      <c r="FD48" s="24"/>
      <c r="FE48" s="24"/>
      <c r="FF48" s="24"/>
      <c r="FG48" s="24"/>
      <c r="FH48" s="24"/>
      <c r="FI48" s="24"/>
      <c r="FJ48" s="24"/>
    </row>
    <row r="49" spans="3:166" s="5" customFormat="1" ht="18.95" customHeight="1">
      <c r="AJ49" s="49"/>
      <c r="AK49" s="49"/>
      <c r="AL49" s="49"/>
      <c r="AM49" s="49"/>
      <c r="CE49" s="51"/>
      <c r="CF49" s="51"/>
      <c r="CL49" s="51"/>
      <c r="CM49" s="51"/>
      <c r="DH49" s="50"/>
      <c r="DI49" s="24"/>
      <c r="DJ49" s="24"/>
      <c r="DK49" s="24"/>
      <c r="DL49" s="24"/>
      <c r="DM49" s="24"/>
      <c r="DN49" s="24"/>
      <c r="DO49" s="24"/>
      <c r="EQ49" s="24"/>
      <c r="ER49" s="24"/>
      <c r="ES49" s="24"/>
      <c r="ET49" s="24"/>
      <c r="EU49" s="24"/>
      <c r="EV49" s="24"/>
      <c r="EW49" s="24"/>
      <c r="EX49" s="24"/>
      <c r="EY49" s="24"/>
      <c r="EZ49" s="24"/>
      <c r="FA49" s="24"/>
      <c r="FB49" s="24"/>
      <c r="FC49" s="24"/>
      <c r="FD49" s="24"/>
      <c r="FE49" s="24"/>
      <c r="FF49" s="24"/>
      <c r="FG49" s="24"/>
      <c r="FH49" s="24"/>
      <c r="FI49" s="24"/>
      <c r="FJ49" s="24"/>
    </row>
    <row r="50" spans="3:166" s="5" customFormat="1" ht="18.95" customHeight="1">
      <c r="AJ50" s="49"/>
      <c r="AK50" s="49"/>
      <c r="AL50" s="49"/>
      <c r="AM50" s="49"/>
      <c r="CE50" s="51"/>
      <c r="CF50" s="51"/>
      <c r="CL50" s="51"/>
      <c r="CM50" s="51"/>
      <c r="DH50" s="50"/>
      <c r="DI50" s="24"/>
      <c r="DJ50" s="24"/>
      <c r="DK50" s="24"/>
      <c r="DL50" s="24"/>
      <c r="DM50" s="24"/>
      <c r="DN50" s="24"/>
      <c r="DO50" s="24"/>
      <c r="EQ50" s="24"/>
      <c r="ER50" s="24"/>
      <c r="ES50" s="24"/>
      <c r="ET50" s="24"/>
      <c r="EU50" s="24"/>
      <c r="EV50" s="24"/>
      <c r="EW50" s="24"/>
      <c r="EX50" s="24"/>
      <c r="EY50" s="24"/>
      <c r="EZ50" s="24"/>
      <c r="FA50" s="24"/>
      <c r="FB50" s="24"/>
      <c r="FC50" s="24"/>
      <c r="FD50" s="24"/>
      <c r="FE50" s="24"/>
      <c r="FF50" s="24"/>
      <c r="FG50" s="24"/>
      <c r="FH50" s="24"/>
      <c r="FI50" s="24"/>
      <c r="FJ50" s="24"/>
    </row>
    <row r="51" spans="3:166" s="5" customFormat="1">
      <c r="O51" s="24"/>
      <c r="P51" s="24"/>
      <c r="Q51" s="24"/>
      <c r="R51" s="24"/>
      <c r="S51" s="24"/>
      <c r="T51" s="24"/>
      <c r="U51" s="24"/>
      <c r="V51" s="24"/>
      <c r="W51" s="24"/>
      <c r="X51" s="24"/>
      <c r="Y51" s="24"/>
      <c r="Z51" s="24"/>
      <c r="AA51" s="24"/>
      <c r="AB51" s="24"/>
      <c r="AJ51" s="49"/>
      <c r="AK51" s="49"/>
      <c r="AL51" s="49"/>
      <c r="AM51" s="49"/>
      <c r="CE51" s="24"/>
      <c r="CF51" s="24"/>
      <c r="CL51" s="24"/>
      <c r="CM51" s="24"/>
      <c r="DH51" s="50"/>
      <c r="DI51" s="24"/>
      <c r="DJ51" s="24"/>
      <c r="DK51" s="24"/>
      <c r="DL51" s="24"/>
      <c r="DM51" s="24"/>
      <c r="DN51" s="24"/>
      <c r="DO51" s="24"/>
      <c r="EQ51" s="24"/>
      <c r="ER51" s="24"/>
      <c r="ES51" s="24"/>
      <c r="ET51" s="24"/>
      <c r="EU51" s="24"/>
      <c r="EV51" s="24"/>
      <c r="EW51" s="24"/>
      <c r="EX51" s="24"/>
      <c r="EY51" s="24"/>
      <c r="EZ51" s="24"/>
      <c r="FA51" s="24"/>
      <c r="FB51" s="24"/>
      <c r="FC51" s="24"/>
      <c r="FD51" s="24"/>
      <c r="FE51" s="24"/>
      <c r="FF51" s="24"/>
      <c r="FG51" s="24"/>
      <c r="FH51" s="24"/>
      <c r="FI51" s="24"/>
      <c r="FJ51" s="24"/>
    </row>
    <row r="52" spans="3:166" s="5" customFormat="1">
      <c r="C52" s="24"/>
      <c r="D52" s="24"/>
      <c r="H52" s="24"/>
      <c r="I52" s="24"/>
      <c r="J52" s="24"/>
      <c r="O52" s="24"/>
      <c r="P52" s="24"/>
      <c r="Q52" s="24"/>
      <c r="R52" s="24"/>
      <c r="S52" s="24"/>
      <c r="T52" s="24"/>
      <c r="U52" s="24"/>
      <c r="V52" s="24"/>
      <c r="W52" s="24"/>
      <c r="X52" s="24"/>
      <c r="Y52" s="24"/>
      <c r="Z52" s="24"/>
      <c r="AA52" s="24"/>
      <c r="AB52" s="24"/>
      <c r="AJ52" s="49"/>
      <c r="AK52" s="49"/>
      <c r="AL52" s="49"/>
      <c r="AM52" s="49"/>
      <c r="CE52" s="24"/>
      <c r="CF52" s="24"/>
      <c r="CL52" s="24"/>
      <c r="CM52" s="24"/>
      <c r="DH52" s="50"/>
      <c r="DI52" s="24"/>
      <c r="DJ52" s="24"/>
      <c r="DK52" s="24"/>
      <c r="DL52" s="24"/>
      <c r="DM52" s="24"/>
      <c r="DN52" s="24"/>
      <c r="DO52" s="24"/>
      <c r="DP52" s="24"/>
      <c r="DQ52" s="24"/>
      <c r="DR52" s="24"/>
      <c r="EQ52" s="24"/>
      <c r="ER52" s="24"/>
      <c r="ES52" s="24"/>
      <c r="ET52" s="24"/>
      <c r="EU52" s="24"/>
      <c r="EV52" s="24"/>
      <c r="EW52" s="24"/>
      <c r="EX52" s="24"/>
      <c r="EY52" s="24"/>
      <c r="EZ52" s="24"/>
      <c r="FA52" s="24"/>
      <c r="FB52" s="24"/>
      <c r="FC52" s="24"/>
      <c r="FD52" s="24"/>
      <c r="FE52" s="24"/>
      <c r="FF52" s="24"/>
      <c r="FG52" s="24"/>
      <c r="FH52" s="24"/>
      <c r="FI52" s="24"/>
      <c r="FJ52" s="24"/>
    </row>
    <row r="53" spans="3:166" s="5" customFormat="1">
      <c r="C53" s="24"/>
      <c r="D53" s="24"/>
      <c r="H53" s="24"/>
      <c r="I53" s="24"/>
      <c r="J53" s="24"/>
      <c r="O53" s="24"/>
      <c r="P53" s="24"/>
      <c r="Q53" s="24"/>
      <c r="R53" s="24"/>
      <c r="S53" s="24"/>
      <c r="T53" s="24"/>
      <c r="U53" s="24"/>
      <c r="V53" s="24"/>
      <c r="W53" s="24"/>
      <c r="X53" s="24"/>
      <c r="Y53" s="24"/>
      <c r="Z53" s="24"/>
      <c r="AA53" s="24"/>
      <c r="AB53" s="24"/>
      <c r="AJ53" s="49"/>
      <c r="AK53" s="49"/>
      <c r="AL53" s="49"/>
      <c r="AM53" s="49"/>
      <c r="CE53" s="24"/>
      <c r="CF53" s="24"/>
      <c r="CL53" s="24"/>
      <c r="CM53" s="24"/>
      <c r="DH53" s="50"/>
      <c r="DI53" s="24"/>
      <c r="DJ53" s="24"/>
      <c r="DK53" s="24"/>
      <c r="DL53" s="24"/>
      <c r="DM53" s="24"/>
      <c r="DN53" s="24"/>
      <c r="DO53" s="24"/>
      <c r="DP53" s="24"/>
      <c r="DQ53" s="24"/>
      <c r="DR53" s="24"/>
      <c r="EQ53" s="24"/>
      <c r="ER53" s="24"/>
      <c r="ES53" s="24"/>
      <c r="ET53" s="24"/>
      <c r="EU53" s="24"/>
      <c r="EV53" s="24"/>
      <c r="EW53" s="24"/>
      <c r="EX53" s="24"/>
      <c r="EY53" s="24"/>
      <c r="EZ53" s="24"/>
      <c r="FA53" s="24"/>
      <c r="FB53" s="24"/>
      <c r="FC53" s="24"/>
      <c r="FD53" s="24"/>
      <c r="FE53" s="24"/>
      <c r="FF53" s="24"/>
      <c r="FG53" s="24"/>
      <c r="FH53" s="24"/>
      <c r="FI53" s="24"/>
      <c r="FJ53" s="24"/>
    </row>
    <row r="54" spans="3:166" s="5" customFormat="1">
      <c r="C54" s="24"/>
      <c r="D54" s="24"/>
      <c r="H54" s="24"/>
      <c r="I54" s="24"/>
      <c r="J54" s="24"/>
      <c r="O54" s="24"/>
      <c r="P54" s="24"/>
      <c r="Q54" s="24"/>
      <c r="R54" s="24"/>
      <c r="S54" s="24"/>
      <c r="T54" s="24"/>
      <c r="U54" s="24"/>
      <c r="V54" s="24"/>
      <c r="W54" s="24"/>
      <c r="X54" s="24"/>
      <c r="Y54" s="24"/>
      <c r="Z54" s="24"/>
      <c r="AA54" s="24"/>
      <c r="AB54" s="24"/>
      <c r="AJ54" s="49"/>
      <c r="AK54" s="49"/>
      <c r="AL54" s="49"/>
      <c r="AM54" s="49"/>
      <c r="CE54" s="24"/>
      <c r="CF54" s="24"/>
      <c r="CL54" s="24"/>
      <c r="CM54" s="24"/>
      <c r="DH54" s="50"/>
      <c r="DI54" s="24"/>
      <c r="DJ54" s="24"/>
      <c r="DK54" s="24"/>
      <c r="DL54" s="24"/>
      <c r="DM54" s="24"/>
      <c r="DN54" s="24"/>
      <c r="DO54" s="24"/>
      <c r="DP54" s="24"/>
      <c r="DQ54" s="24"/>
      <c r="DR54" s="24"/>
      <c r="EQ54" s="24"/>
      <c r="ER54" s="24"/>
      <c r="ES54" s="24"/>
      <c r="ET54" s="24"/>
      <c r="EU54" s="24"/>
      <c r="EV54" s="24"/>
      <c r="EW54" s="24"/>
      <c r="EX54" s="24"/>
      <c r="EY54" s="24"/>
      <c r="EZ54" s="24"/>
      <c r="FA54" s="24"/>
      <c r="FB54" s="24"/>
      <c r="FC54" s="24"/>
      <c r="FD54" s="24"/>
      <c r="FE54" s="24"/>
      <c r="FF54" s="24"/>
      <c r="FG54" s="24"/>
      <c r="FH54" s="24"/>
      <c r="FI54" s="24"/>
      <c r="FJ54" s="24"/>
    </row>
    <row r="55" spans="3:166" s="5" customFormat="1">
      <c r="O55" s="24"/>
      <c r="P55" s="24"/>
      <c r="Q55" s="24"/>
      <c r="R55" s="24"/>
      <c r="S55" s="24"/>
      <c r="T55" s="24"/>
      <c r="U55" s="24"/>
      <c r="V55" s="24"/>
      <c r="W55" s="24"/>
      <c r="X55" s="24"/>
      <c r="Y55" s="24"/>
      <c r="Z55" s="24"/>
      <c r="AA55" s="24"/>
      <c r="AB55" s="24"/>
      <c r="AJ55" s="49"/>
      <c r="AK55" s="49"/>
      <c r="AL55" s="49"/>
      <c r="AM55" s="49"/>
      <c r="CE55" s="24"/>
      <c r="CF55" s="24"/>
      <c r="CL55" s="24"/>
      <c r="CM55" s="24"/>
      <c r="DH55" s="50"/>
      <c r="DI55" s="24"/>
      <c r="DJ55" s="24"/>
      <c r="DK55" s="24"/>
      <c r="DL55" s="24"/>
      <c r="DM55" s="24"/>
      <c r="DN55" s="24"/>
      <c r="DO55" s="24"/>
      <c r="DP55" s="24"/>
      <c r="DQ55" s="24"/>
      <c r="DR55" s="24"/>
      <c r="EQ55" s="24"/>
      <c r="ER55" s="24"/>
      <c r="ES55" s="24"/>
      <c r="ET55" s="24"/>
      <c r="EU55" s="24"/>
      <c r="EV55" s="24"/>
      <c r="EW55" s="24"/>
      <c r="EX55" s="24"/>
      <c r="EY55" s="24"/>
      <c r="EZ55" s="24"/>
      <c r="FA55" s="24"/>
      <c r="FB55" s="24"/>
      <c r="FC55" s="24"/>
      <c r="FD55" s="24"/>
      <c r="FE55" s="24"/>
      <c r="FF55" s="24"/>
      <c r="FG55" s="24"/>
      <c r="FH55" s="24"/>
      <c r="FI55" s="24"/>
      <c r="FJ55" s="24"/>
    </row>
    <row r="56" spans="3:166" s="5" customFormat="1">
      <c r="W56" s="24"/>
      <c r="X56" s="24"/>
      <c r="Y56" s="24"/>
      <c r="Z56" s="24"/>
      <c r="AA56" s="24"/>
      <c r="AB56" s="24"/>
      <c r="AJ56" s="49"/>
      <c r="AK56" s="49"/>
      <c r="AL56" s="49"/>
      <c r="AM56" s="49"/>
      <c r="CE56" s="24"/>
      <c r="CF56" s="24"/>
      <c r="CL56" s="24"/>
      <c r="CM56" s="24"/>
      <c r="DH56" s="50"/>
      <c r="DI56" s="24"/>
      <c r="DJ56" s="24"/>
      <c r="DK56" s="24"/>
      <c r="DL56" s="24"/>
      <c r="DM56" s="24"/>
      <c r="DN56" s="24"/>
      <c r="DO56" s="24"/>
      <c r="DP56" s="24"/>
      <c r="DQ56" s="24"/>
      <c r="DR56" s="24"/>
      <c r="EQ56" s="24"/>
      <c r="ER56" s="24"/>
      <c r="ES56" s="24"/>
      <c r="ET56" s="24"/>
      <c r="EU56" s="24"/>
      <c r="EV56" s="24"/>
      <c r="EW56" s="24"/>
      <c r="EX56" s="24"/>
      <c r="EY56" s="24"/>
      <c r="EZ56" s="24"/>
      <c r="FA56" s="24"/>
      <c r="FB56" s="24"/>
      <c r="FC56" s="24"/>
      <c r="FD56" s="24"/>
      <c r="FE56" s="24"/>
      <c r="FF56" s="24"/>
      <c r="FG56" s="24"/>
      <c r="FH56" s="24"/>
      <c r="FI56" s="24"/>
      <c r="FJ56" s="24"/>
    </row>
    <row r="57" spans="3:166" s="5" customFormat="1">
      <c r="W57" s="24"/>
      <c r="X57" s="24"/>
      <c r="Y57" s="24"/>
      <c r="Z57" s="24"/>
      <c r="AA57" s="24"/>
      <c r="AB57" s="24"/>
      <c r="AJ57" s="49"/>
      <c r="AK57" s="49"/>
      <c r="AL57" s="49"/>
      <c r="AM57" s="49"/>
      <c r="CE57" s="24"/>
      <c r="CF57" s="24"/>
      <c r="CL57" s="24"/>
      <c r="CM57" s="24"/>
      <c r="DH57" s="50"/>
      <c r="DI57" s="24"/>
      <c r="DJ57" s="24"/>
      <c r="DK57" s="24"/>
      <c r="DL57" s="24"/>
      <c r="DM57" s="24"/>
      <c r="DN57" s="24"/>
      <c r="DO57" s="24"/>
      <c r="DP57" s="24"/>
      <c r="DQ57" s="24"/>
      <c r="DR57" s="24"/>
      <c r="EQ57" s="210"/>
      <c r="ER57" s="210"/>
      <c r="ES57" s="210"/>
      <c r="ET57" s="210"/>
      <c r="EU57" s="210"/>
      <c r="EV57" s="210"/>
      <c r="EW57" s="210"/>
      <c r="EX57" s="210"/>
      <c r="EY57" s="210"/>
      <c r="EZ57" s="210"/>
      <c r="FA57" s="210"/>
      <c r="FB57" s="210"/>
      <c r="FC57" s="210"/>
      <c r="FD57" s="210"/>
      <c r="FE57" s="210"/>
      <c r="FF57" s="210"/>
      <c r="FG57" s="210"/>
      <c r="FH57" s="210"/>
      <c r="FI57" s="210"/>
      <c r="FJ57" s="210"/>
    </row>
    <row r="58" spans="3:166" s="5" customFormat="1">
      <c r="W58" s="24"/>
      <c r="X58" s="24"/>
      <c r="Y58" s="24"/>
      <c r="Z58" s="24"/>
      <c r="AA58" s="24"/>
      <c r="AB58" s="24"/>
      <c r="AJ58" s="49"/>
      <c r="AK58" s="49"/>
      <c r="AL58" s="49"/>
      <c r="AM58" s="49"/>
      <c r="CE58" s="24"/>
      <c r="CF58" s="24"/>
      <c r="CL58" s="24"/>
      <c r="CM58" s="24"/>
      <c r="DH58" s="50"/>
      <c r="DI58" s="24"/>
      <c r="DJ58" s="24"/>
      <c r="DK58" s="24"/>
      <c r="DL58" s="24"/>
      <c r="DM58" s="24"/>
      <c r="DN58" s="24"/>
      <c r="DO58" s="24"/>
      <c r="DP58" s="24"/>
      <c r="DQ58" s="24"/>
      <c r="DR58" s="24"/>
      <c r="EQ58" s="24"/>
      <c r="ER58" s="24"/>
      <c r="ES58" s="24"/>
      <c r="ET58" s="24"/>
      <c r="EU58" s="24"/>
      <c r="EV58" s="24"/>
      <c r="EW58" s="24"/>
      <c r="EX58" s="24"/>
      <c r="EY58" s="24"/>
      <c r="EZ58" s="24"/>
      <c r="FA58" s="24"/>
      <c r="FB58" s="24"/>
      <c r="FC58" s="24"/>
      <c r="FD58" s="24"/>
      <c r="FE58" s="24"/>
      <c r="FF58" s="24"/>
      <c r="FG58" s="24"/>
      <c r="FH58" s="24"/>
      <c r="FI58" s="24"/>
      <c r="FJ58" s="24"/>
    </row>
    <row r="59" spans="3:166" s="5" customFormat="1">
      <c r="W59" s="24"/>
      <c r="X59" s="24"/>
      <c r="Y59" s="24"/>
      <c r="Z59" s="24"/>
      <c r="AA59" s="24"/>
      <c r="AB59" s="24"/>
      <c r="AJ59" s="49"/>
      <c r="AK59" s="49"/>
      <c r="AL59" s="49"/>
      <c r="AM59" s="49"/>
      <c r="CE59" s="24"/>
      <c r="CF59" s="24"/>
      <c r="CL59" s="24"/>
      <c r="CM59" s="24"/>
      <c r="DH59" s="50"/>
      <c r="DI59" s="24"/>
      <c r="DJ59" s="24"/>
      <c r="DK59" s="24"/>
      <c r="DL59" s="24"/>
      <c r="DM59" s="24"/>
      <c r="DN59" s="24"/>
      <c r="DO59" s="24"/>
      <c r="DP59" s="24"/>
      <c r="DQ59" s="24"/>
      <c r="DR59" s="24"/>
    </row>
    <row r="60" spans="3:166" s="5" customFormat="1">
      <c r="W60" s="24"/>
      <c r="X60" s="24"/>
      <c r="Y60" s="24"/>
      <c r="Z60" s="24"/>
      <c r="AA60" s="24"/>
      <c r="AB60" s="24"/>
      <c r="AJ60" s="49"/>
      <c r="AK60" s="49"/>
      <c r="AL60" s="49"/>
      <c r="AM60" s="49"/>
      <c r="CE60" s="24"/>
      <c r="CF60" s="24"/>
      <c r="CL60" s="24"/>
      <c r="CM60" s="24"/>
      <c r="DH60" s="50"/>
      <c r="DI60" s="24"/>
      <c r="DJ60" s="24"/>
      <c r="DK60" s="24"/>
      <c r="DL60" s="24"/>
      <c r="DM60" s="24"/>
      <c r="DN60" s="24"/>
      <c r="DO60" s="24"/>
      <c r="DP60" s="24"/>
      <c r="DQ60" s="24"/>
      <c r="DR60" s="24"/>
    </row>
    <row r="61" spans="3:166" s="5" customFormat="1">
      <c r="W61" s="24"/>
      <c r="X61" s="24"/>
      <c r="Y61" s="24"/>
      <c r="Z61" s="24"/>
      <c r="AA61" s="24"/>
      <c r="AB61" s="24"/>
      <c r="AJ61" s="49"/>
      <c r="AK61" s="49"/>
      <c r="AL61" s="49"/>
      <c r="AM61" s="49"/>
      <c r="CE61" s="24"/>
      <c r="CF61" s="24"/>
      <c r="CL61" s="24"/>
      <c r="CM61" s="24"/>
      <c r="DH61" s="50"/>
      <c r="DI61" s="24"/>
      <c r="DJ61" s="24"/>
      <c r="DK61" s="24"/>
      <c r="DL61" s="24"/>
      <c r="DM61" s="24"/>
      <c r="DN61" s="24"/>
      <c r="DO61" s="24"/>
      <c r="DP61" s="24"/>
      <c r="DQ61" s="24"/>
      <c r="DR61" s="24"/>
    </row>
    <row r="62" spans="3:166" s="5" customFormat="1">
      <c r="W62" s="24"/>
      <c r="X62" s="24"/>
      <c r="Y62" s="24"/>
      <c r="Z62" s="24"/>
      <c r="AA62" s="24"/>
      <c r="AB62" s="24"/>
      <c r="AC62" s="24"/>
      <c r="AD62" s="24"/>
      <c r="AE62" s="24"/>
      <c r="AF62" s="24"/>
      <c r="AG62" s="24"/>
      <c r="AH62" s="24"/>
      <c r="AI62" s="24"/>
      <c r="AJ62" s="24"/>
      <c r="AK62" s="24"/>
      <c r="AL62" s="24"/>
      <c r="AM62" s="24"/>
      <c r="AN62" s="24"/>
      <c r="AO62" s="24"/>
      <c r="AP62" s="24"/>
      <c r="CE62" s="24"/>
      <c r="CF62" s="24"/>
      <c r="CL62" s="24"/>
      <c r="CM62" s="24"/>
      <c r="DH62" s="50"/>
      <c r="DI62" s="24"/>
      <c r="DJ62" s="24"/>
      <c r="DK62" s="24"/>
      <c r="DL62" s="24"/>
      <c r="DM62" s="24"/>
      <c r="DN62" s="24"/>
      <c r="DO62" s="24"/>
      <c r="DP62" s="24"/>
      <c r="DQ62" s="24"/>
      <c r="DR62" s="24"/>
    </row>
    <row r="63" spans="3:166" s="5" customFormat="1">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row>
    <row r="64" spans="3:166" s="5" customFormat="1">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row>
    <row r="65" spans="23:122" s="5" customFormat="1">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row>
    <row r="66" spans="23:122" s="5" customFormat="1">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row>
    <row r="67" spans="23:122" s="5" customFormat="1">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row>
    <row r="68" spans="23:122" s="5" customFormat="1">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row>
    <row r="69" spans="23:122" s="5" customFormat="1"/>
    <row r="70" spans="23:122" s="5" customFormat="1"/>
    <row r="71" spans="23:122" s="5" customFormat="1"/>
    <row r="72" spans="23:122" s="5" customFormat="1"/>
    <row r="73" spans="23:122" s="5" customFormat="1"/>
    <row r="74" spans="23:122" s="5" customFormat="1"/>
    <row r="75" spans="23:122" s="5" customFormat="1"/>
    <row r="76" spans="23:122" s="5" customFormat="1"/>
    <row r="77" spans="23:122" s="5" customFormat="1"/>
    <row r="78" spans="23:122" s="5" customFormat="1"/>
    <row r="79" spans="23:122" s="5" customFormat="1"/>
    <row r="80" spans="23:122"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sheetData>
  <sheetProtection algorithmName="SHA-512" hashValue="Ykl8oKuo2IGEaWCjtQVOxT1XVS0/NkwqrcsZY6kkHpaIw6F2o9es/kV6QEeXA4Pz3yduHMsJVytJQv/FR7wy+Q==" saltValue="xKhHcE0RLYLwe5/lZYGa8g==" spinCount="100000" sheet="1" objects="1" scenarios="1"/>
  <mergeCells count="538">
    <mergeCell ref="BE10:BV10"/>
    <mergeCell ref="BE11:BV11"/>
    <mergeCell ref="BW8:CD8"/>
    <mergeCell ref="BW9:CD9"/>
    <mergeCell ref="BW7:CD7"/>
    <mergeCell ref="BW6:CD6"/>
    <mergeCell ref="CE6:CJ6"/>
    <mergeCell ref="BW10:CJ10"/>
    <mergeCell ref="BW11:CJ11"/>
    <mergeCell ref="BD33:BM33"/>
    <mergeCell ref="CQ33:CT33"/>
    <mergeCell ref="CU33:CX33"/>
    <mergeCell ref="CK33:CM33"/>
    <mergeCell ref="CN33:CP33"/>
    <mergeCell ref="B10:Q11"/>
    <mergeCell ref="CE7:CJ7"/>
    <mergeCell ref="CE8:CJ8"/>
    <mergeCell ref="CE9:CJ9"/>
    <mergeCell ref="B12:AN13"/>
    <mergeCell ref="I33:AN33"/>
    <mergeCell ref="AO33:AS33"/>
    <mergeCell ref="AT33:AX33"/>
    <mergeCell ref="AY33:BC33"/>
    <mergeCell ref="BN14:BR16"/>
    <mergeCell ref="BS14:BV16"/>
    <mergeCell ref="AO17:AS17"/>
    <mergeCell ref="AT17:AX17"/>
    <mergeCell ref="AY17:BC17"/>
    <mergeCell ref="BD17:BH17"/>
    <mergeCell ref="BI17:BM17"/>
    <mergeCell ref="BN17:BR17"/>
    <mergeCell ref="BS17:BV17"/>
    <mergeCell ref="BD18:BH18"/>
    <mergeCell ref="CU32:CX32"/>
    <mergeCell ref="BD31:BH31"/>
    <mergeCell ref="BI31:BM31"/>
    <mergeCell ref="CQ32:CT32"/>
    <mergeCell ref="CN32:CP32"/>
    <mergeCell ref="B37:EW38"/>
    <mergeCell ref="EQ57:FJ57"/>
    <mergeCell ref="B33:D33"/>
    <mergeCell ref="E33:H33"/>
    <mergeCell ref="Z32:AC32"/>
    <mergeCell ref="AD32:AN32"/>
    <mergeCell ref="B32:D32"/>
    <mergeCell ref="E32:H32"/>
    <mergeCell ref="I32:K32"/>
    <mergeCell ref="L32:P32"/>
    <mergeCell ref="Q32:U32"/>
    <mergeCell ref="V32:Y32"/>
    <mergeCell ref="CB32:CF32"/>
    <mergeCell ref="CG32:CJ32"/>
    <mergeCell ref="CY32:DB32"/>
    <mergeCell ref="B35:EI36"/>
    <mergeCell ref="BW32:CA32"/>
    <mergeCell ref="DX33:EI33"/>
    <mergeCell ref="BN33:BV33"/>
    <mergeCell ref="AO32:AS32"/>
    <mergeCell ref="AT32:AX32"/>
    <mergeCell ref="AY32:BC32"/>
    <mergeCell ref="BD32:BH32"/>
    <mergeCell ref="BI32:BM32"/>
    <mergeCell ref="BN32:BR32"/>
    <mergeCell ref="BS32:BV32"/>
    <mergeCell ref="AO31:AS31"/>
    <mergeCell ref="AT31:AX31"/>
    <mergeCell ref="AY31:BC31"/>
    <mergeCell ref="E31:H31"/>
    <mergeCell ref="I31:K31"/>
    <mergeCell ref="L31:P31"/>
    <mergeCell ref="Q31:U31"/>
    <mergeCell ref="BW31:CA31"/>
    <mergeCell ref="CY31:DB31"/>
    <mergeCell ref="AD31:AN31"/>
    <mergeCell ref="Z31:AC31"/>
    <mergeCell ref="CU31:CX31"/>
    <mergeCell ref="CB31:CF31"/>
    <mergeCell ref="CG31:CJ31"/>
    <mergeCell ref="V31:Y31"/>
    <mergeCell ref="BN31:BR31"/>
    <mergeCell ref="BS31:BV31"/>
    <mergeCell ref="CK31:CM31"/>
    <mergeCell ref="B30:D30"/>
    <mergeCell ref="E30:H30"/>
    <mergeCell ref="I30:K30"/>
    <mergeCell ref="L30:P30"/>
    <mergeCell ref="Q30:U30"/>
    <mergeCell ref="CG29:CJ29"/>
    <mergeCell ref="CY29:DB29"/>
    <mergeCell ref="V29:Y29"/>
    <mergeCell ref="B29:D29"/>
    <mergeCell ref="E29:H29"/>
    <mergeCell ref="I29:K29"/>
    <mergeCell ref="L29:P29"/>
    <mergeCell ref="Q29:U29"/>
    <mergeCell ref="CU30:CX30"/>
    <mergeCell ref="CY30:DB30"/>
    <mergeCell ref="Z30:AC30"/>
    <mergeCell ref="AD30:AN30"/>
    <mergeCell ref="V30:Y30"/>
    <mergeCell ref="BW29:CA29"/>
    <mergeCell ref="CU29:CX29"/>
    <mergeCell ref="CK29:CM29"/>
    <mergeCell ref="CK30:CM30"/>
    <mergeCell ref="E28:H28"/>
    <mergeCell ref="I28:K28"/>
    <mergeCell ref="L28:P28"/>
    <mergeCell ref="B31:D31"/>
    <mergeCell ref="Z29:AC29"/>
    <mergeCell ref="AD29:AN29"/>
    <mergeCell ref="CB30:CF30"/>
    <mergeCell ref="CG30:CJ30"/>
    <mergeCell ref="BS29:BV29"/>
    <mergeCell ref="AO30:AS30"/>
    <mergeCell ref="AT30:AX30"/>
    <mergeCell ref="AY30:BC30"/>
    <mergeCell ref="BD30:BH30"/>
    <mergeCell ref="BI30:BM30"/>
    <mergeCell ref="BN30:BR30"/>
    <mergeCell ref="BS30:BV30"/>
    <mergeCell ref="AO29:AS29"/>
    <mergeCell ref="AT29:AX29"/>
    <mergeCell ref="AY29:BC29"/>
    <mergeCell ref="BD29:BH29"/>
    <mergeCell ref="BI29:BM29"/>
    <mergeCell ref="CB29:CF29"/>
    <mergeCell ref="BN29:BR29"/>
    <mergeCell ref="BW30:CA30"/>
    <mergeCell ref="V25:Y25"/>
    <mergeCell ref="Z25:AC25"/>
    <mergeCell ref="AD25:AN25"/>
    <mergeCell ref="CG28:CJ28"/>
    <mergeCell ref="CY28:DB28"/>
    <mergeCell ref="AO26:AS26"/>
    <mergeCell ref="AT26:AX26"/>
    <mergeCell ref="B27:D27"/>
    <mergeCell ref="E27:H27"/>
    <mergeCell ref="I27:K27"/>
    <mergeCell ref="L27:P27"/>
    <mergeCell ref="Q27:U27"/>
    <mergeCell ref="Z26:AC26"/>
    <mergeCell ref="Z28:AC28"/>
    <mergeCell ref="AD28:AN28"/>
    <mergeCell ref="CG27:CJ27"/>
    <mergeCell ref="V27:Y27"/>
    <mergeCell ref="CY26:DB26"/>
    <mergeCell ref="CY27:DB27"/>
    <mergeCell ref="AD26:AN26"/>
    <mergeCell ref="V26:Y26"/>
    <mergeCell ref="AO27:AS27"/>
    <mergeCell ref="CB27:CF27"/>
    <mergeCell ref="B28:D28"/>
    <mergeCell ref="Q28:U28"/>
    <mergeCell ref="AD27:AN27"/>
    <mergeCell ref="Z27:AC27"/>
    <mergeCell ref="V28:Y28"/>
    <mergeCell ref="CB28:CF28"/>
    <mergeCell ref="AT27:AX27"/>
    <mergeCell ref="AY27:BC27"/>
    <mergeCell ref="BD27:BH27"/>
    <mergeCell ref="BI27:BM27"/>
    <mergeCell ref="BN27:BR27"/>
    <mergeCell ref="BS27:BV27"/>
    <mergeCell ref="AO28:AS28"/>
    <mergeCell ref="AT28:AX28"/>
    <mergeCell ref="AY28:BC28"/>
    <mergeCell ref="BD28:BH28"/>
    <mergeCell ref="BI28:BM28"/>
    <mergeCell ref="BN28:BR28"/>
    <mergeCell ref="BS28:BV28"/>
    <mergeCell ref="BS23:BV23"/>
    <mergeCell ref="AO23:AS23"/>
    <mergeCell ref="AT23:AX23"/>
    <mergeCell ref="AY23:BC23"/>
    <mergeCell ref="BD23:BH23"/>
    <mergeCell ref="BI23:BM23"/>
    <mergeCell ref="BN23:BR23"/>
    <mergeCell ref="Z24:AC24"/>
    <mergeCell ref="AD24:AN24"/>
    <mergeCell ref="AO24:AS24"/>
    <mergeCell ref="AT24:AX24"/>
    <mergeCell ref="AY24:BC24"/>
    <mergeCell ref="BD24:BH24"/>
    <mergeCell ref="BI24:BM24"/>
    <mergeCell ref="BN24:BR24"/>
    <mergeCell ref="L21:P21"/>
    <mergeCell ref="Q21:U21"/>
    <mergeCell ref="BW22:CA22"/>
    <mergeCell ref="V21:Y21"/>
    <mergeCell ref="CB21:CF21"/>
    <mergeCell ref="B23:D23"/>
    <mergeCell ref="E23:H23"/>
    <mergeCell ref="I23:K23"/>
    <mergeCell ref="L23:P23"/>
    <mergeCell ref="Q23:U23"/>
    <mergeCell ref="AD22:AN22"/>
    <mergeCell ref="Z22:AC22"/>
    <mergeCell ref="V23:Y23"/>
    <mergeCell ref="CB23:CF23"/>
    <mergeCell ref="AY22:BC22"/>
    <mergeCell ref="BD22:BH22"/>
    <mergeCell ref="BI22:BM22"/>
    <mergeCell ref="BN22:BR22"/>
    <mergeCell ref="BS22:BV22"/>
    <mergeCell ref="AO22:AS22"/>
    <mergeCell ref="AT22:AX22"/>
    <mergeCell ref="BW23:CA23"/>
    <mergeCell ref="AD23:AN23"/>
    <mergeCell ref="Z23:AC23"/>
    <mergeCell ref="AY20:BC20"/>
    <mergeCell ref="BD20:BH20"/>
    <mergeCell ref="BI20:BM20"/>
    <mergeCell ref="BN20:BR20"/>
    <mergeCell ref="BS20:BV20"/>
    <mergeCell ref="HZ21:IB21"/>
    <mergeCell ref="B22:D22"/>
    <mergeCell ref="E22:H22"/>
    <mergeCell ref="I22:K22"/>
    <mergeCell ref="L22:P22"/>
    <mergeCell ref="Q22:U22"/>
    <mergeCell ref="AD21:AN21"/>
    <mergeCell ref="Z21:AC21"/>
    <mergeCell ref="V22:Y22"/>
    <mergeCell ref="CB22:CF22"/>
    <mergeCell ref="CG22:CJ22"/>
    <mergeCell ref="CY22:DB22"/>
    <mergeCell ref="HZ22:IB22"/>
    <mergeCell ref="AO21:AS21"/>
    <mergeCell ref="AT21:AX21"/>
    <mergeCell ref="AY21:BC21"/>
    <mergeCell ref="BD21:BH21"/>
    <mergeCell ref="BI21:BM21"/>
    <mergeCell ref="I21:K21"/>
    <mergeCell ref="BW20:CA20"/>
    <mergeCell ref="BW21:CA21"/>
    <mergeCell ref="CG20:CJ20"/>
    <mergeCell ref="CY20:DB20"/>
    <mergeCell ref="HZ20:IB20"/>
    <mergeCell ref="BS19:BV19"/>
    <mergeCell ref="CY19:DB19"/>
    <mergeCell ref="AO19:AS19"/>
    <mergeCell ref="BN19:BR19"/>
    <mergeCell ref="CB20:CF20"/>
    <mergeCell ref="DI20:DN20"/>
    <mergeCell ref="DI21:DN21"/>
    <mergeCell ref="CN20:CP20"/>
    <mergeCell ref="CU20:CX20"/>
    <mergeCell ref="CK20:CM20"/>
    <mergeCell ref="CK21:CM21"/>
    <mergeCell ref="CQ20:CT20"/>
    <mergeCell ref="CQ21:CT21"/>
    <mergeCell ref="DX20:EI20"/>
    <mergeCell ref="DX21:EI22"/>
    <mergeCell ref="BN21:BR21"/>
    <mergeCell ref="BS21:BV21"/>
    <mergeCell ref="AO20:AS20"/>
    <mergeCell ref="AT20:AX20"/>
    <mergeCell ref="L19:P19"/>
    <mergeCell ref="Q19:U19"/>
    <mergeCell ref="Z20:AC20"/>
    <mergeCell ref="AD20:AN20"/>
    <mergeCell ref="B20:D20"/>
    <mergeCell ref="E20:H20"/>
    <mergeCell ref="I20:K20"/>
    <mergeCell ref="L20:P20"/>
    <mergeCell ref="Q20:U20"/>
    <mergeCell ref="Z19:AC19"/>
    <mergeCell ref="AD19:AN19"/>
    <mergeCell ref="V20:Y20"/>
    <mergeCell ref="B19:D19"/>
    <mergeCell ref="E19:H19"/>
    <mergeCell ref="I19:K19"/>
    <mergeCell ref="JB10:JK11"/>
    <mergeCell ref="BW13:CJ13"/>
    <mergeCell ref="CG14:CJ16"/>
    <mergeCell ref="CY14:DB16"/>
    <mergeCell ref="CG17:CJ17"/>
    <mergeCell ref="CY17:DB17"/>
    <mergeCell ref="HZ17:IB17"/>
    <mergeCell ref="CB17:CF17"/>
    <mergeCell ref="HZ19:IB19"/>
    <mergeCell ref="DI13:DN13"/>
    <mergeCell ref="DI18:DN18"/>
    <mergeCell ref="DI19:DN19"/>
    <mergeCell ref="CY18:DB18"/>
    <mergeCell ref="DI14:DN16"/>
    <mergeCell ref="DI17:DN17"/>
    <mergeCell ref="CQ14:CT16"/>
    <mergeCell ref="CQ17:CT17"/>
    <mergeCell ref="CU14:CX16"/>
    <mergeCell ref="CU17:CX17"/>
    <mergeCell ref="CU18:CX18"/>
    <mergeCell ref="CU19:CX19"/>
    <mergeCell ref="DO17:DW17"/>
    <mergeCell ref="DC14:DH16"/>
    <mergeCell ref="DC17:DH17"/>
    <mergeCell ref="JX8:KH9"/>
    <mergeCell ref="R9:AN9"/>
    <mergeCell ref="AO9:AV9"/>
    <mergeCell ref="AW9:BD9"/>
    <mergeCell ref="BE9:BM9"/>
    <mergeCell ref="HC9:HF9"/>
    <mergeCell ref="HH9:HO9"/>
    <mergeCell ref="HQ7:HZ8"/>
    <mergeCell ref="R8:AC8"/>
    <mergeCell ref="AD8:AN8"/>
    <mergeCell ref="AO8:BD8"/>
    <mergeCell ref="HC6:HE6"/>
    <mergeCell ref="HG6:HP6"/>
    <mergeCell ref="R7:AC7"/>
    <mergeCell ref="AD7:AN7"/>
    <mergeCell ref="BE7:BM7"/>
    <mergeCell ref="HB7:HB8"/>
    <mergeCell ref="BN7:BV7"/>
    <mergeCell ref="BE8:BV8"/>
    <mergeCell ref="R5:AC5"/>
    <mergeCell ref="R6:AC6"/>
    <mergeCell ref="AD6:AN6"/>
    <mergeCell ref="AO6:BD7"/>
    <mergeCell ref="BE6:BM6"/>
    <mergeCell ref="BN6:BV6"/>
    <mergeCell ref="B17:D17"/>
    <mergeCell ref="E17:H17"/>
    <mergeCell ref="I17:K17"/>
    <mergeCell ref="L17:P17"/>
    <mergeCell ref="Q17:U17"/>
    <mergeCell ref="Z14:AN16"/>
    <mergeCell ref="B14:D16"/>
    <mergeCell ref="E14:H16"/>
    <mergeCell ref="I14:K16"/>
    <mergeCell ref="L14:P16"/>
    <mergeCell ref="Q14:U16"/>
    <mergeCell ref="V17:Y17"/>
    <mergeCell ref="Z17:AN17"/>
    <mergeCell ref="Z18:AC18"/>
    <mergeCell ref="AT19:AX19"/>
    <mergeCell ref="AY19:BC19"/>
    <mergeCell ref="BD19:BH19"/>
    <mergeCell ref="BI19:BM19"/>
    <mergeCell ref="V14:Y15"/>
    <mergeCell ref="V16:Y16"/>
    <mergeCell ref="Q18:U18"/>
    <mergeCell ref="AT18:AX18"/>
    <mergeCell ref="AY18:BC18"/>
    <mergeCell ref="AT14:AX16"/>
    <mergeCell ref="AY14:BC16"/>
    <mergeCell ref="BD14:BH16"/>
    <mergeCell ref="BI14:BM16"/>
    <mergeCell ref="AO18:AS18"/>
    <mergeCell ref="BI18:BM18"/>
    <mergeCell ref="B5:Q9"/>
    <mergeCell ref="BN9:BV9"/>
    <mergeCell ref="AD5:CJ5"/>
    <mergeCell ref="B2:CJ4"/>
    <mergeCell ref="BW25:CA25"/>
    <mergeCell ref="BW26:CA26"/>
    <mergeCell ref="BW27:CA27"/>
    <mergeCell ref="BW28:CA28"/>
    <mergeCell ref="CG18:CJ18"/>
    <mergeCell ref="AO11:BD11"/>
    <mergeCell ref="R10:Z11"/>
    <mergeCell ref="AA10:AN10"/>
    <mergeCell ref="AO10:BD10"/>
    <mergeCell ref="AA11:AN11"/>
    <mergeCell ref="AD18:AN18"/>
    <mergeCell ref="V19:Y19"/>
    <mergeCell ref="CG19:CJ19"/>
    <mergeCell ref="B18:D18"/>
    <mergeCell ref="E18:H18"/>
    <mergeCell ref="I18:K18"/>
    <mergeCell ref="L18:P18"/>
    <mergeCell ref="AO12:CJ12"/>
    <mergeCell ref="CB14:CF16"/>
    <mergeCell ref="V18:Y18"/>
    <mergeCell ref="AO13:BV13"/>
    <mergeCell ref="BW14:CA16"/>
    <mergeCell ref="BW17:CA17"/>
    <mergeCell ref="BW18:CA18"/>
    <mergeCell ref="BW19:CA19"/>
    <mergeCell ref="CB18:CF18"/>
    <mergeCell ref="AO14:AS16"/>
    <mergeCell ref="CN14:CP16"/>
    <mergeCell ref="CN17:CP17"/>
    <mergeCell ref="CN18:CP18"/>
    <mergeCell ref="CN19:CP19"/>
    <mergeCell ref="CB19:CF19"/>
    <mergeCell ref="CK14:CM16"/>
    <mergeCell ref="CK17:CM17"/>
    <mergeCell ref="CK18:CM18"/>
    <mergeCell ref="CK19:CM19"/>
    <mergeCell ref="CK13:CX13"/>
    <mergeCell ref="CQ18:CT18"/>
    <mergeCell ref="CQ19:CT19"/>
    <mergeCell ref="BN18:BR18"/>
    <mergeCell ref="BS18:BV18"/>
    <mergeCell ref="DI22:DN22"/>
    <mergeCell ref="DI23:DN23"/>
    <mergeCell ref="CY33:DB33"/>
    <mergeCell ref="CY21:DB21"/>
    <mergeCell ref="CY23:DB23"/>
    <mergeCell ref="CY24:DB24"/>
    <mergeCell ref="DI30:DN30"/>
    <mergeCell ref="DI27:DN27"/>
    <mergeCell ref="B21:D21"/>
    <mergeCell ref="E21:H21"/>
    <mergeCell ref="BW33:CA33"/>
    <mergeCell ref="BW24:CA24"/>
    <mergeCell ref="CG21:CJ21"/>
    <mergeCell ref="CG23:CJ23"/>
    <mergeCell ref="CN21:CP21"/>
    <mergeCell ref="CN22:CP22"/>
    <mergeCell ref="CN23:CP23"/>
    <mergeCell ref="CN24:CP24"/>
    <mergeCell ref="DI24:DN24"/>
    <mergeCell ref="DI28:DN28"/>
    <mergeCell ref="CB33:CJ33"/>
    <mergeCell ref="DI25:DN25"/>
    <mergeCell ref="DI26:DN26"/>
    <mergeCell ref="DI29:DN29"/>
    <mergeCell ref="CK32:CM32"/>
    <mergeCell ref="CG25:CJ25"/>
    <mergeCell ref="B24:D24"/>
    <mergeCell ref="E24:H24"/>
    <mergeCell ref="I24:K24"/>
    <mergeCell ref="L24:P24"/>
    <mergeCell ref="Q24:U24"/>
    <mergeCell ref="V24:Y24"/>
    <mergeCell ref="CB24:CF24"/>
    <mergeCell ref="CG24:CJ24"/>
    <mergeCell ref="BS24:BV24"/>
    <mergeCell ref="B25:D25"/>
    <mergeCell ref="E25:H25"/>
    <mergeCell ref="I25:K25"/>
    <mergeCell ref="L25:P25"/>
    <mergeCell ref="Q25:U25"/>
    <mergeCell ref="B26:D26"/>
    <mergeCell ref="E26:H26"/>
    <mergeCell ref="I26:K26"/>
    <mergeCell ref="L26:P26"/>
    <mergeCell ref="Q26:U26"/>
    <mergeCell ref="CB26:CF26"/>
    <mergeCell ref="CG26:CJ26"/>
    <mergeCell ref="BS25:BV25"/>
    <mergeCell ref="AY26:BC26"/>
    <mergeCell ref="BD26:BH26"/>
    <mergeCell ref="BI26:BM26"/>
    <mergeCell ref="BN26:BR26"/>
    <mergeCell ref="BS26:BV26"/>
    <mergeCell ref="AO25:AS25"/>
    <mergeCell ref="AT25:AX25"/>
    <mergeCell ref="AY25:BC25"/>
    <mergeCell ref="CB25:CF25"/>
    <mergeCell ref="BD25:BH25"/>
    <mergeCell ref="BI25:BM25"/>
    <mergeCell ref="BN25:BR25"/>
    <mergeCell ref="CK22:CM22"/>
    <mergeCell ref="CK23:CM23"/>
    <mergeCell ref="CK24:CM24"/>
    <mergeCell ref="CQ26:CT26"/>
    <mergeCell ref="CQ27:CT27"/>
    <mergeCell ref="CQ28:CT28"/>
    <mergeCell ref="CQ29:CT29"/>
    <mergeCell ref="CQ30:CT30"/>
    <mergeCell ref="CQ31:CT31"/>
    <mergeCell ref="CN27:CP27"/>
    <mergeCell ref="CN28:CP28"/>
    <mergeCell ref="CN29:CP29"/>
    <mergeCell ref="CN30:CP30"/>
    <mergeCell ref="CN31:CP31"/>
    <mergeCell ref="CQ22:CT22"/>
    <mergeCell ref="CQ23:CT23"/>
    <mergeCell ref="CQ24:CT24"/>
    <mergeCell ref="CQ25:CT25"/>
    <mergeCell ref="CN25:CP25"/>
    <mergeCell ref="CN26:CP26"/>
    <mergeCell ref="CK25:CM25"/>
    <mergeCell ref="CK26:CM26"/>
    <mergeCell ref="CK27:CM27"/>
    <mergeCell ref="CK28:CM28"/>
    <mergeCell ref="DC18:DH18"/>
    <mergeCell ref="CU21:CX21"/>
    <mergeCell ref="CU22:CX22"/>
    <mergeCell ref="CU23:CX23"/>
    <mergeCell ref="CU24:CX24"/>
    <mergeCell ref="CU25:CX25"/>
    <mergeCell ref="CU26:CX26"/>
    <mergeCell ref="CU27:CX27"/>
    <mergeCell ref="CU28:CX28"/>
    <mergeCell ref="CY25:DB25"/>
    <mergeCell ref="DC33:DH33"/>
    <mergeCell ref="CY13:DH13"/>
    <mergeCell ref="CK12:DN12"/>
    <mergeCell ref="DO33:DW33"/>
    <mergeCell ref="DO32:DW32"/>
    <mergeCell ref="DO31:DW31"/>
    <mergeCell ref="DO30:DW30"/>
    <mergeCell ref="DO29:DW29"/>
    <mergeCell ref="DO28:DW28"/>
    <mergeCell ref="DO27:DW27"/>
    <mergeCell ref="DO26:DW26"/>
    <mergeCell ref="DO25:DW25"/>
    <mergeCell ref="DO24:DW24"/>
    <mergeCell ref="DO23:DW23"/>
    <mergeCell ref="DO22:DW22"/>
    <mergeCell ref="DO21:DW21"/>
    <mergeCell ref="DO20:DW20"/>
    <mergeCell ref="DO19:DW19"/>
    <mergeCell ref="DO18:DW18"/>
    <mergeCell ref="DC19:DH19"/>
    <mergeCell ref="DC20:DH20"/>
    <mergeCell ref="DC21:DH21"/>
    <mergeCell ref="DC22:DH22"/>
    <mergeCell ref="DC23:DH23"/>
    <mergeCell ref="DX23:EC28"/>
    <mergeCell ref="ED23:EI28"/>
    <mergeCell ref="DX29:EC32"/>
    <mergeCell ref="DC28:DH28"/>
    <mergeCell ref="DC29:DH29"/>
    <mergeCell ref="DC30:DH30"/>
    <mergeCell ref="DC31:DH31"/>
    <mergeCell ref="DC32:DH32"/>
    <mergeCell ref="DC24:DH24"/>
    <mergeCell ref="DC25:DH25"/>
    <mergeCell ref="DC26:DH26"/>
    <mergeCell ref="DC27:DH27"/>
    <mergeCell ref="ED29:EI32"/>
    <mergeCell ref="DI31:DN31"/>
    <mergeCell ref="DI32:DN32"/>
    <mergeCell ref="ED13:EI13"/>
    <mergeCell ref="ED14:EI16"/>
    <mergeCell ref="ED17:EI17"/>
    <mergeCell ref="DX14:EC16"/>
    <mergeCell ref="DX17:EC17"/>
    <mergeCell ref="DX18:EC19"/>
    <mergeCell ref="DO13:EC13"/>
    <mergeCell ref="DO12:EI12"/>
    <mergeCell ref="ED18:EI19"/>
    <mergeCell ref="DO14:DW16"/>
  </mergeCells>
  <conditionalFormatting sqref="DE34:DO34 AD18:AN32">
    <cfRule type="cellIs" dxfId="31" priority="17" operator="equal">
      <formula>"Sıvılaşma Yok"</formula>
    </cfRule>
    <cfRule type="cellIs" dxfId="30" priority="18" operator="equal">
      <formula>"Sıvılaşma Beklenir"</formula>
    </cfRule>
  </conditionalFormatting>
  <conditionalFormatting sqref="EU34:FI34">
    <cfRule type="cellIs" dxfId="29" priority="13" operator="equal">
      <formula>"Çok Düşük"</formula>
    </cfRule>
    <cfRule type="cellIs" dxfId="28" priority="14" operator="equal">
      <formula>"Düşük"</formula>
    </cfRule>
    <cfRule type="cellIs" dxfId="27" priority="15" operator="equal">
      <formula>"Çok Yüksek"</formula>
    </cfRule>
    <cfRule type="cellIs" dxfId="26" priority="16" operator="equal">
      <formula>"Yüksek"</formula>
    </cfRule>
  </conditionalFormatting>
  <conditionalFormatting sqref="EQ33">
    <cfRule type="cellIs" dxfId="25" priority="9" operator="equal">
      <formula>"Çok Düşük"</formula>
    </cfRule>
    <cfRule type="cellIs" dxfId="24" priority="10" operator="equal">
      <formula>"Düşük"</formula>
    </cfRule>
    <cfRule type="cellIs" dxfId="23" priority="11" operator="equal">
      <formula>"Çok Yüksek"</formula>
    </cfRule>
    <cfRule type="cellIs" dxfId="22" priority="12" operator="equal">
      <formula>"Yüksek"</formula>
    </cfRule>
  </conditionalFormatting>
  <conditionalFormatting sqref="FW18:FZ32">
    <cfRule type="expression" dxfId="21" priority="53">
      <formula>AND($BN$9="DTS - 4",FW18&gt;35,GA18&gt;20)</formula>
    </cfRule>
  </conditionalFormatting>
  <conditionalFormatting sqref="FN18:FP32">
    <cfRule type="expression" dxfId="20" priority="54">
      <formula>AND($BN$9="DTS - 4",#REF!&gt;10,FN18&gt;20)</formula>
    </cfRule>
  </conditionalFormatting>
  <dataValidations count="1">
    <dataValidation type="list" showInputMessage="1" showErrorMessage="1" sqref="ED29">
      <formula1>$GQ$30:$GQ$32</formula1>
    </dataValidation>
  </dataValidations>
  <printOptions horizontalCentered="1" verticalCentered="1"/>
  <pageMargins left="0.19685039370078741" right="0.19685039370078741" top="0.59055118110236227" bottom="0.39370078740157483" header="0" footer="0"/>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Tablolar!$V$7:$V$8</xm:f>
          </x14:formula1>
          <xm:sqref>DX29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V52"/>
  <sheetViews>
    <sheetView workbookViewId="0">
      <selection activeCell="D8" sqref="A8:D8"/>
    </sheetView>
  </sheetViews>
  <sheetFormatPr defaultRowHeight="15"/>
  <cols>
    <col min="1" max="1" width="7.7109375" customWidth="1"/>
    <col min="2" max="2" width="14" customWidth="1"/>
    <col min="3" max="3" width="12.7109375" customWidth="1"/>
    <col min="4" max="4" width="13.5703125" customWidth="1"/>
    <col min="18" max="18" width="4.28515625" customWidth="1"/>
    <col min="257" max="257" width="7.7109375" customWidth="1"/>
    <col min="258" max="258" width="14" customWidth="1"/>
    <col min="259" max="259" width="12.7109375" customWidth="1"/>
    <col min="260" max="260" width="13.5703125" customWidth="1"/>
    <col min="274" max="274" width="4.28515625" customWidth="1"/>
    <col min="513" max="513" width="7.7109375" customWidth="1"/>
    <col min="514" max="514" width="14" customWidth="1"/>
    <col min="515" max="515" width="12.7109375" customWidth="1"/>
    <col min="516" max="516" width="13.5703125" customWidth="1"/>
    <col min="530" max="530" width="4.28515625" customWidth="1"/>
    <col min="769" max="769" width="7.7109375" customWidth="1"/>
    <col min="770" max="770" width="14" customWidth="1"/>
    <col min="771" max="771" width="12.7109375" customWidth="1"/>
    <col min="772" max="772" width="13.5703125" customWidth="1"/>
    <col min="786" max="786" width="4.28515625" customWidth="1"/>
    <col min="1025" max="1025" width="7.7109375" customWidth="1"/>
    <col min="1026" max="1026" width="14" customWidth="1"/>
    <col min="1027" max="1027" width="12.7109375" customWidth="1"/>
    <col min="1028" max="1028" width="13.5703125" customWidth="1"/>
    <col min="1042" max="1042" width="4.28515625" customWidth="1"/>
    <col min="1281" max="1281" width="7.7109375" customWidth="1"/>
    <col min="1282" max="1282" width="14" customWidth="1"/>
    <col min="1283" max="1283" width="12.7109375" customWidth="1"/>
    <col min="1284" max="1284" width="13.5703125" customWidth="1"/>
    <col min="1298" max="1298" width="4.28515625" customWidth="1"/>
    <col min="1537" max="1537" width="7.7109375" customWidth="1"/>
    <col min="1538" max="1538" width="14" customWidth="1"/>
    <col min="1539" max="1539" width="12.7109375" customWidth="1"/>
    <col min="1540" max="1540" width="13.5703125" customWidth="1"/>
    <col min="1554" max="1554" width="4.28515625" customWidth="1"/>
    <col min="1793" max="1793" width="7.7109375" customWidth="1"/>
    <col min="1794" max="1794" width="14" customWidth="1"/>
    <col min="1795" max="1795" width="12.7109375" customWidth="1"/>
    <col min="1796" max="1796" width="13.5703125" customWidth="1"/>
    <col min="1810" max="1810" width="4.28515625" customWidth="1"/>
    <col min="2049" max="2049" width="7.7109375" customWidth="1"/>
    <col min="2050" max="2050" width="14" customWidth="1"/>
    <col min="2051" max="2051" width="12.7109375" customWidth="1"/>
    <col min="2052" max="2052" width="13.5703125" customWidth="1"/>
    <col min="2066" max="2066" width="4.28515625" customWidth="1"/>
    <col min="2305" max="2305" width="7.7109375" customWidth="1"/>
    <col min="2306" max="2306" width="14" customWidth="1"/>
    <col min="2307" max="2307" width="12.7109375" customWidth="1"/>
    <col min="2308" max="2308" width="13.5703125" customWidth="1"/>
    <col min="2322" max="2322" width="4.28515625" customWidth="1"/>
    <col min="2561" max="2561" width="7.7109375" customWidth="1"/>
    <col min="2562" max="2562" width="14" customWidth="1"/>
    <col min="2563" max="2563" width="12.7109375" customWidth="1"/>
    <col min="2564" max="2564" width="13.5703125" customWidth="1"/>
    <col min="2578" max="2578" width="4.28515625" customWidth="1"/>
    <col min="2817" max="2817" width="7.7109375" customWidth="1"/>
    <col min="2818" max="2818" width="14" customWidth="1"/>
    <col min="2819" max="2819" width="12.7109375" customWidth="1"/>
    <col min="2820" max="2820" width="13.5703125" customWidth="1"/>
    <col min="2834" max="2834" width="4.28515625" customWidth="1"/>
    <col min="3073" max="3073" width="7.7109375" customWidth="1"/>
    <col min="3074" max="3074" width="14" customWidth="1"/>
    <col min="3075" max="3075" width="12.7109375" customWidth="1"/>
    <col min="3076" max="3076" width="13.5703125" customWidth="1"/>
    <col min="3090" max="3090" width="4.28515625" customWidth="1"/>
    <col min="3329" max="3329" width="7.7109375" customWidth="1"/>
    <col min="3330" max="3330" width="14" customWidth="1"/>
    <col min="3331" max="3331" width="12.7109375" customWidth="1"/>
    <col min="3332" max="3332" width="13.5703125" customWidth="1"/>
    <col min="3346" max="3346" width="4.28515625" customWidth="1"/>
    <col min="3585" max="3585" width="7.7109375" customWidth="1"/>
    <col min="3586" max="3586" width="14" customWidth="1"/>
    <col min="3587" max="3587" width="12.7109375" customWidth="1"/>
    <col min="3588" max="3588" width="13.5703125" customWidth="1"/>
    <col min="3602" max="3602" width="4.28515625" customWidth="1"/>
    <col min="3841" max="3841" width="7.7109375" customWidth="1"/>
    <col min="3842" max="3842" width="14" customWidth="1"/>
    <col min="3843" max="3843" width="12.7109375" customWidth="1"/>
    <col min="3844" max="3844" width="13.5703125" customWidth="1"/>
    <col min="3858" max="3858" width="4.28515625" customWidth="1"/>
    <col min="4097" max="4097" width="7.7109375" customWidth="1"/>
    <col min="4098" max="4098" width="14" customWidth="1"/>
    <col min="4099" max="4099" width="12.7109375" customWidth="1"/>
    <col min="4100" max="4100" width="13.5703125" customWidth="1"/>
    <col min="4114" max="4114" width="4.28515625" customWidth="1"/>
    <col min="4353" max="4353" width="7.7109375" customWidth="1"/>
    <col min="4354" max="4354" width="14" customWidth="1"/>
    <col min="4355" max="4355" width="12.7109375" customWidth="1"/>
    <col min="4356" max="4356" width="13.5703125" customWidth="1"/>
    <col min="4370" max="4370" width="4.28515625" customWidth="1"/>
    <col min="4609" max="4609" width="7.7109375" customWidth="1"/>
    <col min="4610" max="4610" width="14" customWidth="1"/>
    <col min="4611" max="4611" width="12.7109375" customWidth="1"/>
    <col min="4612" max="4612" width="13.5703125" customWidth="1"/>
    <col min="4626" max="4626" width="4.28515625" customWidth="1"/>
    <col min="4865" max="4865" width="7.7109375" customWidth="1"/>
    <col min="4866" max="4866" width="14" customWidth="1"/>
    <col min="4867" max="4867" width="12.7109375" customWidth="1"/>
    <col min="4868" max="4868" width="13.5703125" customWidth="1"/>
    <col min="4882" max="4882" width="4.28515625" customWidth="1"/>
    <col min="5121" max="5121" width="7.7109375" customWidth="1"/>
    <col min="5122" max="5122" width="14" customWidth="1"/>
    <col min="5123" max="5123" width="12.7109375" customWidth="1"/>
    <col min="5124" max="5124" width="13.5703125" customWidth="1"/>
    <col min="5138" max="5138" width="4.28515625" customWidth="1"/>
    <col min="5377" max="5377" width="7.7109375" customWidth="1"/>
    <col min="5378" max="5378" width="14" customWidth="1"/>
    <col min="5379" max="5379" width="12.7109375" customWidth="1"/>
    <col min="5380" max="5380" width="13.5703125" customWidth="1"/>
    <col min="5394" max="5394" width="4.28515625" customWidth="1"/>
    <col min="5633" max="5633" width="7.7109375" customWidth="1"/>
    <col min="5634" max="5634" width="14" customWidth="1"/>
    <col min="5635" max="5635" width="12.7109375" customWidth="1"/>
    <col min="5636" max="5636" width="13.5703125" customWidth="1"/>
    <col min="5650" max="5650" width="4.28515625" customWidth="1"/>
    <col min="5889" max="5889" width="7.7109375" customWidth="1"/>
    <col min="5890" max="5890" width="14" customWidth="1"/>
    <col min="5891" max="5891" width="12.7109375" customWidth="1"/>
    <col min="5892" max="5892" width="13.5703125" customWidth="1"/>
    <col min="5906" max="5906" width="4.28515625" customWidth="1"/>
    <col min="6145" max="6145" width="7.7109375" customWidth="1"/>
    <col min="6146" max="6146" width="14" customWidth="1"/>
    <col min="6147" max="6147" width="12.7109375" customWidth="1"/>
    <col min="6148" max="6148" width="13.5703125" customWidth="1"/>
    <col min="6162" max="6162" width="4.28515625" customWidth="1"/>
    <col min="6401" max="6401" width="7.7109375" customWidth="1"/>
    <col min="6402" max="6402" width="14" customWidth="1"/>
    <col min="6403" max="6403" width="12.7109375" customWidth="1"/>
    <col min="6404" max="6404" width="13.5703125" customWidth="1"/>
    <col min="6418" max="6418" width="4.28515625" customWidth="1"/>
    <col min="6657" max="6657" width="7.7109375" customWidth="1"/>
    <col min="6658" max="6658" width="14" customWidth="1"/>
    <col min="6659" max="6659" width="12.7109375" customWidth="1"/>
    <col min="6660" max="6660" width="13.5703125" customWidth="1"/>
    <col min="6674" max="6674" width="4.28515625" customWidth="1"/>
    <col min="6913" max="6913" width="7.7109375" customWidth="1"/>
    <col min="6914" max="6914" width="14" customWidth="1"/>
    <col min="6915" max="6915" width="12.7109375" customWidth="1"/>
    <col min="6916" max="6916" width="13.5703125" customWidth="1"/>
    <col min="6930" max="6930" width="4.28515625" customWidth="1"/>
    <col min="7169" max="7169" width="7.7109375" customWidth="1"/>
    <col min="7170" max="7170" width="14" customWidth="1"/>
    <col min="7171" max="7171" width="12.7109375" customWidth="1"/>
    <col min="7172" max="7172" width="13.5703125" customWidth="1"/>
    <col min="7186" max="7186" width="4.28515625" customWidth="1"/>
    <col min="7425" max="7425" width="7.7109375" customWidth="1"/>
    <col min="7426" max="7426" width="14" customWidth="1"/>
    <col min="7427" max="7427" width="12.7109375" customWidth="1"/>
    <col min="7428" max="7428" width="13.5703125" customWidth="1"/>
    <col min="7442" max="7442" width="4.28515625" customWidth="1"/>
    <col min="7681" max="7681" width="7.7109375" customWidth="1"/>
    <col min="7682" max="7682" width="14" customWidth="1"/>
    <col min="7683" max="7683" width="12.7109375" customWidth="1"/>
    <col min="7684" max="7684" width="13.5703125" customWidth="1"/>
    <col min="7698" max="7698" width="4.28515625" customWidth="1"/>
    <col min="7937" max="7937" width="7.7109375" customWidth="1"/>
    <col min="7938" max="7938" width="14" customWidth="1"/>
    <col min="7939" max="7939" width="12.7109375" customWidth="1"/>
    <col min="7940" max="7940" width="13.5703125" customWidth="1"/>
    <col min="7954" max="7954" width="4.28515625" customWidth="1"/>
    <col min="8193" max="8193" width="7.7109375" customWidth="1"/>
    <col min="8194" max="8194" width="14" customWidth="1"/>
    <col min="8195" max="8195" width="12.7109375" customWidth="1"/>
    <col min="8196" max="8196" width="13.5703125" customWidth="1"/>
    <col min="8210" max="8210" width="4.28515625" customWidth="1"/>
    <col min="8449" max="8449" width="7.7109375" customWidth="1"/>
    <col min="8450" max="8450" width="14" customWidth="1"/>
    <col min="8451" max="8451" width="12.7109375" customWidth="1"/>
    <col min="8452" max="8452" width="13.5703125" customWidth="1"/>
    <col min="8466" max="8466" width="4.28515625" customWidth="1"/>
    <col min="8705" max="8705" width="7.7109375" customWidth="1"/>
    <col min="8706" max="8706" width="14" customWidth="1"/>
    <col min="8707" max="8707" width="12.7109375" customWidth="1"/>
    <col min="8708" max="8708" width="13.5703125" customWidth="1"/>
    <col min="8722" max="8722" width="4.28515625" customWidth="1"/>
    <col min="8961" max="8961" width="7.7109375" customWidth="1"/>
    <col min="8962" max="8962" width="14" customWidth="1"/>
    <col min="8963" max="8963" width="12.7109375" customWidth="1"/>
    <col min="8964" max="8964" width="13.5703125" customWidth="1"/>
    <col min="8978" max="8978" width="4.28515625" customWidth="1"/>
    <col min="9217" max="9217" width="7.7109375" customWidth="1"/>
    <col min="9218" max="9218" width="14" customWidth="1"/>
    <col min="9219" max="9219" width="12.7109375" customWidth="1"/>
    <col min="9220" max="9220" width="13.5703125" customWidth="1"/>
    <col min="9234" max="9234" width="4.28515625" customWidth="1"/>
    <col min="9473" max="9473" width="7.7109375" customWidth="1"/>
    <col min="9474" max="9474" width="14" customWidth="1"/>
    <col min="9475" max="9475" width="12.7109375" customWidth="1"/>
    <col min="9476" max="9476" width="13.5703125" customWidth="1"/>
    <col min="9490" max="9490" width="4.28515625" customWidth="1"/>
    <col min="9729" max="9729" width="7.7109375" customWidth="1"/>
    <col min="9730" max="9730" width="14" customWidth="1"/>
    <col min="9731" max="9731" width="12.7109375" customWidth="1"/>
    <col min="9732" max="9732" width="13.5703125" customWidth="1"/>
    <col min="9746" max="9746" width="4.28515625" customWidth="1"/>
    <col min="9985" max="9985" width="7.7109375" customWidth="1"/>
    <col min="9986" max="9986" width="14" customWidth="1"/>
    <col min="9987" max="9987" width="12.7109375" customWidth="1"/>
    <col min="9988" max="9988" width="13.5703125" customWidth="1"/>
    <col min="10002" max="10002" width="4.28515625" customWidth="1"/>
    <col min="10241" max="10241" width="7.7109375" customWidth="1"/>
    <col min="10242" max="10242" width="14" customWidth="1"/>
    <col min="10243" max="10243" width="12.7109375" customWidth="1"/>
    <col min="10244" max="10244" width="13.5703125" customWidth="1"/>
    <col min="10258" max="10258" width="4.28515625" customWidth="1"/>
    <col min="10497" max="10497" width="7.7109375" customWidth="1"/>
    <col min="10498" max="10498" width="14" customWidth="1"/>
    <col min="10499" max="10499" width="12.7109375" customWidth="1"/>
    <col min="10500" max="10500" width="13.5703125" customWidth="1"/>
    <col min="10514" max="10514" width="4.28515625" customWidth="1"/>
    <col min="10753" max="10753" width="7.7109375" customWidth="1"/>
    <col min="10754" max="10754" width="14" customWidth="1"/>
    <col min="10755" max="10755" width="12.7109375" customWidth="1"/>
    <col min="10756" max="10756" width="13.5703125" customWidth="1"/>
    <col min="10770" max="10770" width="4.28515625" customWidth="1"/>
    <col min="11009" max="11009" width="7.7109375" customWidth="1"/>
    <col min="11010" max="11010" width="14" customWidth="1"/>
    <col min="11011" max="11011" width="12.7109375" customWidth="1"/>
    <col min="11012" max="11012" width="13.5703125" customWidth="1"/>
    <col min="11026" max="11026" width="4.28515625" customWidth="1"/>
    <col min="11265" max="11265" width="7.7109375" customWidth="1"/>
    <col min="11266" max="11266" width="14" customWidth="1"/>
    <col min="11267" max="11267" width="12.7109375" customWidth="1"/>
    <col min="11268" max="11268" width="13.5703125" customWidth="1"/>
    <col min="11282" max="11282" width="4.28515625" customWidth="1"/>
    <col min="11521" max="11521" width="7.7109375" customWidth="1"/>
    <col min="11522" max="11522" width="14" customWidth="1"/>
    <col min="11523" max="11523" width="12.7109375" customWidth="1"/>
    <col min="11524" max="11524" width="13.5703125" customWidth="1"/>
    <col min="11538" max="11538" width="4.28515625" customWidth="1"/>
    <col min="11777" max="11777" width="7.7109375" customWidth="1"/>
    <col min="11778" max="11778" width="14" customWidth="1"/>
    <col min="11779" max="11779" width="12.7109375" customWidth="1"/>
    <col min="11780" max="11780" width="13.5703125" customWidth="1"/>
    <col min="11794" max="11794" width="4.28515625" customWidth="1"/>
    <col min="12033" max="12033" width="7.7109375" customWidth="1"/>
    <col min="12034" max="12034" width="14" customWidth="1"/>
    <col min="12035" max="12035" width="12.7109375" customWidth="1"/>
    <col min="12036" max="12036" width="13.5703125" customWidth="1"/>
    <col min="12050" max="12050" width="4.28515625" customWidth="1"/>
    <col min="12289" max="12289" width="7.7109375" customWidth="1"/>
    <col min="12290" max="12290" width="14" customWidth="1"/>
    <col min="12291" max="12291" width="12.7109375" customWidth="1"/>
    <col min="12292" max="12292" width="13.5703125" customWidth="1"/>
    <col min="12306" max="12306" width="4.28515625" customWidth="1"/>
    <col min="12545" max="12545" width="7.7109375" customWidth="1"/>
    <col min="12546" max="12546" width="14" customWidth="1"/>
    <col min="12547" max="12547" width="12.7109375" customWidth="1"/>
    <col min="12548" max="12548" width="13.5703125" customWidth="1"/>
    <col min="12562" max="12562" width="4.28515625" customWidth="1"/>
    <col min="12801" max="12801" width="7.7109375" customWidth="1"/>
    <col min="12802" max="12802" width="14" customWidth="1"/>
    <col min="12803" max="12803" width="12.7109375" customWidth="1"/>
    <col min="12804" max="12804" width="13.5703125" customWidth="1"/>
    <col min="12818" max="12818" width="4.28515625" customWidth="1"/>
    <col min="13057" max="13057" width="7.7109375" customWidth="1"/>
    <col min="13058" max="13058" width="14" customWidth="1"/>
    <col min="13059" max="13059" width="12.7109375" customWidth="1"/>
    <col min="13060" max="13060" width="13.5703125" customWidth="1"/>
    <col min="13074" max="13074" width="4.28515625" customWidth="1"/>
    <col min="13313" max="13313" width="7.7109375" customWidth="1"/>
    <col min="13314" max="13314" width="14" customWidth="1"/>
    <col min="13315" max="13315" width="12.7109375" customWidth="1"/>
    <col min="13316" max="13316" width="13.5703125" customWidth="1"/>
    <col min="13330" max="13330" width="4.28515625" customWidth="1"/>
    <col min="13569" max="13569" width="7.7109375" customWidth="1"/>
    <col min="13570" max="13570" width="14" customWidth="1"/>
    <col min="13571" max="13571" width="12.7109375" customWidth="1"/>
    <col min="13572" max="13572" width="13.5703125" customWidth="1"/>
    <col min="13586" max="13586" width="4.28515625" customWidth="1"/>
    <col min="13825" max="13825" width="7.7109375" customWidth="1"/>
    <col min="13826" max="13826" width="14" customWidth="1"/>
    <col min="13827" max="13827" width="12.7109375" customWidth="1"/>
    <col min="13828" max="13828" width="13.5703125" customWidth="1"/>
    <col min="13842" max="13842" width="4.28515625" customWidth="1"/>
    <col min="14081" max="14081" width="7.7109375" customWidth="1"/>
    <col min="14082" max="14082" width="14" customWidth="1"/>
    <col min="14083" max="14083" width="12.7109375" customWidth="1"/>
    <col min="14084" max="14084" width="13.5703125" customWidth="1"/>
    <col min="14098" max="14098" width="4.28515625" customWidth="1"/>
    <col min="14337" max="14337" width="7.7109375" customWidth="1"/>
    <col min="14338" max="14338" width="14" customWidth="1"/>
    <col min="14339" max="14339" width="12.7109375" customWidth="1"/>
    <col min="14340" max="14340" width="13.5703125" customWidth="1"/>
    <col min="14354" max="14354" width="4.28515625" customWidth="1"/>
    <col min="14593" max="14593" width="7.7109375" customWidth="1"/>
    <col min="14594" max="14594" width="14" customWidth="1"/>
    <col min="14595" max="14595" width="12.7109375" customWidth="1"/>
    <col min="14596" max="14596" width="13.5703125" customWidth="1"/>
    <col min="14610" max="14610" width="4.28515625" customWidth="1"/>
    <col min="14849" max="14849" width="7.7109375" customWidth="1"/>
    <col min="14850" max="14850" width="14" customWidth="1"/>
    <col min="14851" max="14851" width="12.7109375" customWidth="1"/>
    <col min="14852" max="14852" width="13.5703125" customWidth="1"/>
    <col min="14866" max="14866" width="4.28515625" customWidth="1"/>
    <col min="15105" max="15105" width="7.7109375" customWidth="1"/>
    <col min="15106" max="15106" width="14" customWidth="1"/>
    <col min="15107" max="15107" width="12.7109375" customWidth="1"/>
    <col min="15108" max="15108" width="13.5703125" customWidth="1"/>
    <col min="15122" max="15122" width="4.28515625" customWidth="1"/>
    <col min="15361" max="15361" width="7.7109375" customWidth="1"/>
    <col min="15362" max="15362" width="14" customWidth="1"/>
    <col min="15363" max="15363" width="12.7109375" customWidth="1"/>
    <col min="15364" max="15364" width="13.5703125" customWidth="1"/>
    <col min="15378" max="15378" width="4.28515625" customWidth="1"/>
    <col min="15617" max="15617" width="7.7109375" customWidth="1"/>
    <col min="15618" max="15618" width="14" customWidth="1"/>
    <col min="15619" max="15619" width="12.7109375" customWidth="1"/>
    <col min="15620" max="15620" width="13.5703125" customWidth="1"/>
    <col min="15634" max="15634" width="4.28515625" customWidth="1"/>
    <col min="15873" max="15873" width="7.7109375" customWidth="1"/>
    <col min="15874" max="15874" width="14" customWidth="1"/>
    <col min="15875" max="15875" width="12.7109375" customWidth="1"/>
    <col min="15876" max="15876" width="13.5703125" customWidth="1"/>
    <col min="15890" max="15890" width="4.28515625" customWidth="1"/>
    <col min="16129" max="16129" width="7.7109375" customWidth="1"/>
    <col min="16130" max="16130" width="14" customWidth="1"/>
    <col min="16131" max="16131" width="12.7109375" customWidth="1"/>
    <col min="16132" max="16132" width="13.5703125" customWidth="1"/>
    <col min="16146" max="16146" width="4.28515625" customWidth="1"/>
  </cols>
  <sheetData>
    <row r="1" spans="1:22" ht="51">
      <c r="A1" s="147" t="s">
        <v>251</v>
      </c>
      <c r="B1" s="147" t="s">
        <v>252</v>
      </c>
      <c r="C1" s="147" t="s">
        <v>253</v>
      </c>
      <c r="D1" s="147" t="s">
        <v>254</v>
      </c>
      <c r="E1" s="148" t="s">
        <v>255</v>
      </c>
    </row>
    <row r="2" spans="1:22">
      <c r="A2" s="127">
        <v>2</v>
      </c>
      <c r="B2" s="127">
        <v>35</v>
      </c>
      <c r="C2" s="128">
        <v>55</v>
      </c>
      <c r="D2" s="128">
        <v>18</v>
      </c>
      <c r="E2" s="149">
        <f t="shared" ref="E2:E7" si="0">IF(A2="","",(ROUNDUP(+B2/C2,2)))</f>
        <v>0.64</v>
      </c>
      <c r="P2" s="140" t="s">
        <v>290</v>
      </c>
      <c r="Q2" s="140"/>
      <c r="R2" s="140"/>
      <c r="S2" s="141">
        <v>0</v>
      </c>
      <c r="T2" s="141">
        <v>0.8</v>
      </c>
      <c r="U2" s="140"/>
      <c r="V2" s="140"/>
    </row>
    <row r="3" spans="1:22">
      <c r="A3" s="127">
        <v>4</v>
      </c>
      <c r="B3" s="127">
        <v>35</v>
      </c>
      <c r="C3" s="128">
        <v>50</v>
      </c>
      <c r="D3" s="128">
        <v>16</v>
      </c>
      <c r="E3" s="126">
        <f t="shared" si="0"/>
        <v>0.7</v>
      </c>
      <c r="P3" s="140"/>
      <c r="Q3" s="140"/>
      <c r="R3" s="140"/>
      <c r="S3" s="141">
        <v>18</v>
      </c>
      <c r="T3" s="141">
        <v>0.8</v>
      </c>
      <c r="U3" s="140"/>
      <c r="V3" s="140"/>
    </row>
    <row r="4" spans="1:22">
      <c r="A4" s="127">
        <v>6</v>
      </c>
      <c r="B4" s="127">
        <v>42</v>
      </c>
      <c r="C4" s="128">
        <v>42</v>
      </c>
      <c r="D4" s="128">
        <v>12</v>
      </c>
      <c r="E4" s="126">
        <f t="shared" si="0"/>
        <v>1</v>
      </c>
      <c r="P4" s="140"/>
      <c r="Q4" s="140"/>
      <c r="R4" s="140"/>
      <c r="S4" s="141">
        <v>18</v>
      </c>
      <c r="T4" s="141">
        <v>1.4</v>
      </c>
      <c r="U4" s="140"/>
      <c r="V4" s="140"/>
    </row>
    <row r="5" spans="1:22">
      <c r="A5" s="127">
        <v>8</v>
      </c>
      <c r="B5" s="127">
        <v>43</v>
      </c>
      <c r="C5" s="128">
        <v>45</v>
      </c>
      <c r="D5" s="128">
        <v>10</v>
      </c>
      <c r="E5" s="126">
        <f t="shared" si="0"/>
        <v>0.96</v>
      </c>
      <c r="P5" s="140"/>
      <c r="Q5" s="140"/>
      <c r="R5" s="140"/>
      <c r="S5" s="142"/>
      <c r="T5" s="142"/>
      <c r="U5" s="140"/>
      <c r="V5" s="140"/>
    </row>
    <row r="6" spans="1:22">
      <c r="A6" s="127">
        <v>10</v>
      </c>
      <c r="B6" s="127">
        <v>35</v>
      </c>
      <c r="C6" s="128">
        <v>41</v>
      </c>
      <c r="D6" s="128">
        <v>15</v>
      </c>
      <c r="E6" s="126">
        <f t="shared" si="0"/>
        <v>0.86</v>
      </c>
      <c r="P6" s="140"/>
      <c r="Q6" s="140"/>
      <c r="R6" s="140"/>
      <c r="S6" s="141" t="s">
        <v>256</v>
      </c>
      <c r="T6" s="141" t="s">
        <v>257</v>
      </c>
      <c r="U6" s="140"/>
      <c r="V6" s="140"/>
    </row>
    <row r="7" spans="1:22">
      <c r="A7" s="127">
        <v>12</v>
      </c>
      <c r="B7" s="127">
        <v>23</v>
      </c>
      <c r="C7" s="128">
        <v>38</v>
      </c>
      <c r="D7" s="128">
        <v>17</v>
      </c>
      <c r="E7" s="126">
        <f t="shared" si="0"/>
        <v>0.61</v>
      </c>
      <c r="P7" s="140"/>
      <c r="Q7" s="140"/>
      <c r="R7" s="140"/>
      <c r="S7" s="141">
        <v>0</v>
      </c>
      <c r="T7" s="141">
        <v>0.85</v>
      </c>
      <c r="U7" s="140"/>
      <c r="V7" s="140"/>
    </row>
    <row r="8" spans="1:22">
      <c r="A8" s="127"/>
      <c r="B8" s="127"/>
      <c r="C8" s="128"/>
      <c r="D8" s="128"/>
      <c r="E8" s="126" t="e">
        <f t="shared" ref="E8:E21" si="1">ROUNDUP(+B8/C8,2)</f>
        <v>#DIV/0!</v>
      </c>
      <c r="P8" s="140"/>
      <c r="Q8" s="140"/>
      <c r="R8" s="140"/>
      <c r="S8" s="141">
        <v>12</v>
      </c>
      <c r="T8" s="141">
        <v>0.85</v>
      </c>
      <c r="U8" s="140"/>
      <c r="V8" s="140"/>
    </row>
    <row r="9" spans="1:22">
      <c r="A9" s="127"/>
      <c r="B9" s="127"/>
      <c r="C9" s="128"/>
      <c r="D9" s="128"/>
      <c r="E9" s="126" t="e">
        <f t="shared" si="1"/>
        <v>#DIV/0!</v>
      </c>
      <c r="P9" s="140"/>
      <c r="Q9" s="140"/>
      <c r="R9" s="140"/>
      <c r="S9" s="141">
        <v>12</v>
      </c>
      <c r="T9" s="141">
        <v>1.4</v>
      </c>
      <c r="U9" s="140"/>
      <c r="V9" s="140"/>
    </row>
    <row r="10" spans="1:22">
      <c r="A10" s="127"/>
      <c r="B10" s="127"/>
      <c r="C10" s="128"/>
      <c r="D10" s="128"/>
      <c r="E10" s="126" t="e">
        <f t="shared" si="1"/>
        <v>#DIV/0!</v>
      </c>
      <c r="P10" s="140" t="s">
        <v>291</v>
      </c>
      <c r="Q10" s="140"/>
      <c r="R10" s="140"/>
      <c r="S10" s="140"/>
      <c r="T10" s="140"/>
      <c r="U10" s="140"/>
      <c r="V10" s="140"/>
    </row>
    <row r="11" spans="1:22">
      <c r="A11" s="127"/>
      <c r="B11" s="127"/>
      <c r="C11" s="128"/>
      <c r="D11" s="128"/>
      <c r="E11" s="126" t="e">
        <f t="shared" si="1"/>
        <v>#DIV/0!</v>
      </c>
      <c r="P11" s="140" t="s">
        <v>310</v>
      </c>
      <c r="Q11" s="140"/>
      <c r="R11" s="140"/>
      <c r="S11" s="140"/>
      <c r="T11" s="140"/>
      <c r="U11" s="140"/>
      <c r="V11" s="140"/>
    </row>
    <row r="12" spans="1:22">
      <c r="A12" s="127"/>
      <c r="B12" s="127"/>
      <c r="C12" s="128"/>
      <c r="D12" s="128"/>
      <c r="E12" s="126" t="e">
        <f t="shared" si="1"/>
        <v>#DIV/0!</v>
      </c>
      <c r="P12" s="140"/>
      <c r="Q12" s="140"/>
      <c r="R12" s="140"/>
      <c r="S12" s="140"/>
      <c r="T12" s="140"/>
      <c r="U12" s="140"/>
      <c r="V12" s="140"/>
    </row>
    <row r="13" spans="1:22">
      <c r="A13" s="127"/>
      <c r="B13" s="127"/>
      <c r="C13" s="128"/>
      <c r="D13" s="128"/>
      <c r="E13" s="126" t="e">
        <f t="shared" si="1"/>
        <v>#DIV/0!</v>
      </c>
      <c r="P13" s="140"/>
      <c r="Q13" s="140"/>
      <c r="R13" s="140"/>
      <c r="S13" s="140"/>
      <c r="T13" s="140"/>
      <c r="U13" s="140"/>
      <c r="V13" s="140"/>
    </row>
    <row r="14" spans="1:22">
      <c r="A14" s="127"/>
      <c r="B14" s="127"/>
      <c r="C14" s="128"/>
      <c r="D14" s="128"/>
      <c r="E14" s="126" t="e">
        <f t="shared" si="1"/>
        <v>#DIV/0!</v>
      </c>
      <c r="P14" s="140" t="s">
        <v>292</v>
      </c>
      <c r="Q14" s="143"/>
      <c r="R14" s="140"/>
      <c r="S14" s="140"/>
      <c r="T14" s="140"/>
      <c r="U14" s="140"/>
      <c r="V14" s="140"/>
    </row>
    <row r="15" spans="1:22">
      <c r="A15" s="127"/>
      <c r="B15" s="127"/>
      <c r="C15" s="128"/>
      <c r="D15" s="128"/>
      <c r="E15" s="126" t="e">
        <f t="shared" si="1"/>
        <v>#DIV/0!</v>
      </c>
    </row>
    <row r="16" spans="1:22">
      <c r="A16" s="127"/>
      <c r="B16" s="127"/>
      <c r="C16" s="128"/>
      <c r="D16" s="128"/>
      <c r="E16" s="126" t="e">
        <f t="shared" si="1"/>
        <v>#DIV/0!</v>
      </c>
    </row>
    <row r="17" spans="1:18">
      <c r="A17" s="127"/>
      <c r="B17" s="127"/>
      <c r="C17" s="128"/>
      <c r="D17" s="128"/>
      <c r="E17" s="126" t="e">
        <f t="shared" si="1"/>
        <v>#DIV/0!</v>
      </c>
    </row>
    <row r="18" spans="1:18">
      <c r="A18" s="127"/>
      <c r="B18" s="127"/>
      <c r="C18" s="128"/>
      <c r="D18" s="128"/>
      <c r="E18" s="126" t="e">
        <f t="shared" si="1"/>
        <v>#DIV/0!</v>
      </c>
    </row>
    <row r="19" spans="1:18">
      <c r="A19" s="127"/>
      <c r="B19" s="127"/>
      <c r="C19" s="128"/>
      <c r="D19" s="128"/>
      <c r="E19" s="126" t="e">
        <f t="shared" si="1"/>
        <v>#DIV/0!</v>
      </c>
    </row>
    <row r="20" spans="1:18" ht="15.75">
      <c r="A20" s="127"/>
      <c r="B20" s="127"/>
      <c r="C20" s="128"/>
      <c r="D20" s="128"/>
      <c r="E20" s="126" t="e">
        <f t="shared" si="1"/>
        <v>#DIV/0!</v>
      </c>
      <c r="F20" s="140"/>
      <c r="G20" s="838" t="s">
        <v>258</v>
      </c>
      <c r="H20" s="838"/>
      <c r="I20" s="838"/>
      <c r="J20" s="838"/>
      <c r="K20" s="838"/>
      <c r="L20" s="838"/>
      <c r="M20" s="838"/>
      <c r="N20" s="838"/>
      <c r="O20" s="838"/>
    </row>
    <row r="21" spans="1:18" ht="15.75">
      <c r="A21" s="127"/>
      <c r="B21" s="127"/>
      <c r="C21" s="128"/>
      <c r="D21" s="128"/>
      <c r="E21" s="126" t="e">
        <f t="shared" si="1"/>
        <v>#DIV/0!</v>
      </c>
      <c r="F21" s="140"/>
      <c r="G21" s="144" t="s">
        <v>259</v>
      </c>
      <c r="H21" s="140"/>
      <c r="I21" s="140"/>
      <c r="J21" s="145" t="s">
        <v>260</v>
      </c>
      <c r="K21" s="140"/>
      <c r="L21" s="140"/>
      <c r="M21" s="140"/>
      <c r="N21" s="140"/>
      <c r="O21" s="140"/>
    </row>
    <row r="22" spans="1:18">
      <c r="A22" s="146" t="s">
        <v>261</v>
      </c>
      <c r="M22" s="120" t="s">
        <v>256</v>
      </c>
      <c r="N22" s="120" t="s">
        <v>257</v>
      </c>
    </row>
    <row r="23" spans="1:18" ht="15.75">
      <c r="B23" s="121"/>
      <c r="C23" s="121"/>
      <c r="D23" s="121"/>
      <c r="E23" s="121"/>
      <c r="F23" s="121"/>
      <c r="G23" s="122"/>
      <c r="H23" s="122"/>
      <c r="I23" s="122"/>
      <c r="J23" s="122"/>
      <c r="K23" s="122"/>
      <c r="L23" s="122"/>
      <c r="M23" s="122"/>
      <c r="N23" s="122"/>
      <c r="O23" s="121"/>
      <c r="P23" s="121"/>
      <c r="Q23" s="121"/>
      <c r="R23" s="121"/>
    </row>
    <row r="24" spans="1:18" ht="15.75">
      <c r="B24" s="121"/>
      <c r="C24" s="121"/>
      <c r="D24" s="121"/>
      <c r="E24" s="121"/>
      <c r="F24" s="121"/>
      <c r="G24" s="122"/>
      <c r="H24" s="122"/>
      <c r="I24" s="122"/>
      <c r="J24" s="122"/>
      <c r="K24" s="122"/>
      <c r="L24" s="122"/>
      <c r="M24" s="122"/>
      <c r="N24" s="122"/>
      <c r="O24" s="121"/>
      <c r="P24" s="121"/>
      <c r="Q24" s="121"/>
      <c r="R24" s="121"/>
    </row>
    <row r="25" spans="1:18" ht="15.75">
      <c r="B25" s="121"/>
      <c r="C25" s="121"/>
      <c r="D25" s="121"/>
      <c r="E25" s="121"/>
      <c r="F25" s="121"/>
      <c r="G25" s="122"/>
      <c r="H25" s="122"/>
      <c r="I25" s="122"/>
      <c r="J25" s="122"/>
      <c r="K25" s="122"/>
      <c r="L25" s="122"/>
      <c r="M25" s="122"/>
      <c r="N25" s="122"/>
      <c r="O25" s="121"/>
      <c r="P25" s="121"/>
      <c r="Q25" s="121"/>
      <c r="R25" s="121"/>
    </row>
    <row r="26" spans="1:18" ht="15.75">
      <c r="B26" s="121"/>
      <c r="C26" s="121"/>
      <c r="D26" s="121"/>
      <c r="E26" s="121"/>
      <c r="F26" s="121"/>
      <c r="G26" s="122"/>
      <c r="H26" s="122"/>
      <c r="I26" s="122"/>
      <c r="J26" s="122"/>
      <c r="K26" s="122"/>
      <c r="L26" s="122"/>
      <c r="M26" s="122"/>
      <c r="N26" s="122"/>
      <c r="O26" s="121"/>
      <c r="P26" s="121"/>
      <c r="Q26" s="121"/>
      <c r="R26" s="121"/>
    </row>
    <row r="27" spans="1:18">
      <c r="B27" s="121"/>
      <c r="C27" s="121"/>
      <c r="D27" s="121"/>
      <c r="E27" s="121"/>
      <c r="F27" s="121"/>
      <c r="G27" s="121"/>
      <c r="H27" s="121"/>
      <c r="I27" s="121"/>
      <c r="J27" s="121"/>
      <c r="K27" s="121"/>
      <c r="L27" s="121"/>
      <c r="M27" s="121"/>
      <c r="N27" s="121"/>
      <c r="O27" s="121"/>
      <c r="P27" s="121"/>
      <c r="Q27" s="121"/>
      <c r="R27" s="121"/>
    </row>
    <row r="28" spans="1:18">
      <c r="B28" s="121"/>
      <c r="C28" s="121"/>
      <c r="D28" s="121"/>
      <c r="E28" s="121"/>
      <c r="F28" s="121"/>
      <c r="G28" s="121"/>
      <c r="H28" s="121"/>
      <c r="I28" s="121"/>
      <c r="J28" s="121"/>
      <c r="K28" s="121"/>
      <c r="L28" s="121"/>
      <c r="M28" s="121"/>
      <c r="N28" s="121"/>
      <c r="O28" s="121"/>
      <c r="P28" s="121"/>
      <c r="Q28" s="121"/>
      <c r="R28" s="121"/>
    </row>
    <row r="29" spans="1:18">
      <c r="B29" s="121"/>
      <c r="C29" s="121"/>
      <c r="D29" s="121"/>
      <c r="E29" s="121"/>
      <c r="F29" s="121"/>
      <c r="G29" s="121"/>
      <c r="H29" s="121"/>
      <c r="I29" s="121"/>
      <c r="J29" s="121"/>
      <c r="K29" s="121"/>
      <c r="L29" s="121"/>
      <c r="M29" s="121"/>
      <c r="N29" s="121"/>
      <c r="O29" s="121"/>
      <c r="P29" s="121"/>
      <c r="Q29" s="121"/>
      <c r="R29" s="121"/>
    </row>
    <row r="30" spans="1:18">
      <c r="B30" s="121"/>
      <c r="C30" s="121"/>
      <c r="D30" s="121"/>
      <c r="E30" s="121"/>
      <c r="F30" s="836" t="s">
        <v>262</v>
      </c>
      <c r="G30" s="121"/>
      <c r="H30" s="121"/>
      <c r="I30" s="121"/>
      <c r="J30" s="121"/>
      <c r="K30" s="121"/>
      <c r="L30" s="121"/>
      <c r="M30" s="121"/>
      <c r="N30" s="121"/>
      <c r="O30" s="121"/>
      <c r="P30" s="121"/>
      <c r="Q30" s="121"/>
      <c r="R30" s="121"/>
    </row>
    <row r="31" spans="1:18" ht="13.15" customHeight="1">
      <c r="B31" s="121"/>
      <c r="C31" s="121"/>
      <c r="D31" s="121"/>
      <c r="E31" s="121"/>
      <c r="F31" s="836"/>
      <c r="G31" s="121"/>
      <c r="H31" s="121"/>
      <c r="I31" s="121"/>
      <c r="J31" s="121"/>
      <c r="K31" s="121"/>
      <c r="L31" s="121"/>
      <c r="M31" s="121"/>
      <c r="N31" s="121"/>
      <c r="O31" s="121"/>
      <c r="P31" s="121"/>
      <c r="Q31" s="121"/>
      <c r="R31" s="121"/>
    </row>
    <row r="32" spans="1:18">
      <c r="F32" s="836"/>
    </row>
    <row r="33" spans="6:20">
      <c r="F33" s="836"/>
    </row>
    <row r="34" spans="6:20">
      <c r="F34" s="836"/>
    </row>
    <row r="35" spans="6:20">
      <c r="F35" s="836"/>
    </row>
    <row r="36" spans="6:20">
      <c r="F36" s="836"/>
    </row>
    <row r="37" spans="6:20">
      <c r="F37" s="836"/>
    </row>
    <row r="48" spans="6:20" ht="15.75">
      <c r="F48" s="140"/>
      <c r="G48" s="140"/>
      <c r="H48" s="140"/>
      <c r="I48" s="140"/>
      <c r="J48" s="140"/>
      <c r="K48" s="140"/>
      <c r="L48" s="837" t="s">
        <v>263</v>
      </c>
      <c r="M48" s="837"/>
      <c r="N48" s="837"/>
      <c r="O48" s="140"/>
      <c r="P48" s="140"/>
      <c r="Q48" s="140"/>
      <c r="R48" s="140"/>
      <c r="S48" s="140"/>
      <c r="T48" s="140"/>
    </row>
    <row r="49" spans="6:20">
      <c r="F49" s="140"/>
      <c r="G49" s="140"/>
      <c r="H49" s="140"/>
      <c r="I49" s="140"/>
      <c r="J49" s="140"/>
      <c r="K49" s="140"/>
      <c r="L49" s="140"/>
      <c r="M49" s="140"/>
      <c r="N49" s="140"/>
      <c r="O49" s="140"/>
      <c r="P49" s="140"/>
      <c r="Q49" s="140"/>
      <c r="R49" s="140"/>
      <c r="S49" s="140"/>
      <c r="T49" s="140"/>
    </row>
    <row r="50" spans="6:20" ht="15.75">
      <c r="F50" s="140"/>
      <c r="G50" s="140"/>
      <c r="H50" s="140"/>
      <c r="I50" s="839" t="s">
        <v>293</v>
      </c>
      <c r="J50" s="839"/>
      <c r="K50" s="839"/>
      <c r="L50" s="839"/>
      <c r="M50" s="839"/>
      <c r="N50" s="839"/>
      <c r="O50" s="839"/>
      <c r="P50" s="839"/>
      <c r="Q50" s="140"/>
      <c r="R50" s="140"/>
      <c r="S50" s="140"/>
      <c r="T50" s="140"/>
    </row>
    <row r="51" spans="6:20">
      <c r="F51" s="140"/>
      <c r="G51" s="140"/>
      <c r="H51" s="140"/>
      <c r="I51" s="140"/>
      <c r="J51" s="140"/>
      <c r="K51" s="140"/>
      <c r="L51" s="140"/>
      <c r="M51" s="140"/>
      <c r="N51" s="140"/>
      <c r="O51" s="140"/>
      <c r="P51" s="140"/>
      <c r="Q51" s="140"/>
      <c r="R51" s="140"/>
      <c r="S51" s="140"/>
      <c r="T51" s="140"/>
    </row>
    <row r="52" spans="6:20">
      <c r="F52" s="140"/>
      <c r="G52" s="140"/>
      <c r="H52" s="140"/>
      <c r="I52" s="140"/>
      <c r="J52" s="140"/>
      <c r="K52" s="140"/>
      <c r="L52" s="140"/>
      <c r="M52" s="140"/>
      <c r="N52" s="140"/>
      <c r="O52" s="140"/>
      <c r="P52" s="140"/>
      <c r="Q52" s="140"/>
      <c r="R52" s="140"/>
      <c r="S52" s="140"/>
      <c r="T52" s="140"/>
    </row>
  </sheetData>
  <sheetProtection algorithmName="SHA-512" hashValue="ptfirLUFW4+Kgv+t0yFiSQBVvSGDTRjpqGJxaLp0UqZKEPA35tx6jMyeMt/cH2wQt+CAQNezI6oeb7JkK0laPA==" saltValue="RWRV4JKpLUlLVgg/Ko5ySg==" spinCount="100000" sheet="1" objects="1" scenarios="1"/>
  <mergeCells count="4">
    <mergeCell ref="F30:F37"/>
    <mergeCell ref="L48:N48"/>
    <mergeCell ref="G20:O20"/>
    <mergeCell ref="I50:P50"/>
  </mergeCells>
  <conditionalFormatting sqref="E4">
    <cfRule type="expression" dxfId="19" priority="18">
      <formula>$A$4=""</formula>
    </cfRule>
  </conditionalFormatting>
  <conditionalFormatting sqref="E2">
    <cfRule type="expression" dxfId="18" priority="20">
      <formula>$A$2=""</formula>
    </cfRule>
  </conditionalFormatting>
  <conditionalFormatting sqref="E3">
    <cfRule type="expression" dxfId="17" priority="19">
      <formula>$A$3=""</formula>
    </cfRule>
  </conditionalFormatting>
  <conditionalFormatting sqref="E8">
    <cfRule type="expression" dxfId="16" priority="14">
      <formula>$A$8=""</formula>
    </cfRule>
  </conditionalFormatting>
  <conditionalFormatting sqref="E5">
    <cfRule type="expression" dxfId="15" priority="17">
      <formula>$A$5=""</formula>
    </cfRule>
  </conditionalFormatting>
  <conditionalFormatting sqref="E6">
    <cfRule type="expression" dxfId="14" priority="16">
      <formula>$A$6=""</formula>
    </cfRule>
  </conditionalFormatting>
  <conditionalFormatting sqref="E7">
    <cfRule type="expression" dxfId="13" priority="15">
      <formula>$A$7=""</formula>
    </cfRule>
  </conditionalFormatting>
  <conditionalFormatting sqref="E9">
    <cfRule type="expression" dxfId="12" priority="13">
      <formula>$A$9=""</formula>
    </cfRule>
  </conditionalFormatting>
  <conditionalFormatting sqref="E10">
    <cfRule type="expression" dxfId="11" priority="12">
      <formula>$A$10=""</formula>
    </cfRule>
  </conditionalFormatting>
  <conditionalFormatting sqref="E11">
    <cfRule type="expression" dxfId="10" priority="11">
      <formula>$A$11=""</formula>
    </cfRule>
  </conditionalFormatting>
  <conditionalFormatting sqref="E12">
    <cfRule type="expression" dxfId="9" priority="10">
      <formula>$A$12=""</formula>
    </cfRule>
  </conditionalFormatting>
  <conditionalFormatting sqref="E13">
    <cfRule type="expression" dxfId="8" priority="9">
      <formula>$A$13=""</formula>
    </cfRule>
  </conditionalFormatting>
  <conditionalFormatting sqref="E14">
    <cfRule type="expression" dxfId="7" priority="8">
      <formula>$A$14=""</formula>
    </cfRule>
  </conditionalFormatting>
  <conditionalFormatting sqref="E15">
    <cfRule type="expression" dxfId="6" priority="7">
      <formula>$A$15=""</formula>
    </cfRule>
  </conditionalFormatting>
  <conditionalFormatting sqref="E16">
    <cfRule type="expression" dxfId="5" priority="6">
      <formula>$A$16=""</formula>
    </cfRule>
  </conditionalFormatting>
  <conditionalFormatting sqref="E17">
    <cfRule type="expression" dxfId="4" priority="5">
      <formula>$A$17=""</formula>
    </cfRule>
  </conditionalFormatting>
  <conditionalFormatting sqref="E18">
    <cfRule type="expression" dxfId="3" priority="4">
      <formula>$A$18=""</formula>
    </cfRule>
  </conditionalFormatting>
  <conditionalFormatting sqref="E19">
    <cfRule type="expression" dxfId="2" priority="3">
      <formula>$A$19=""</formula>
    </cfRule>
  </conditionalFormatting>
  <conditionalFormatting sqref="E20">
    <cfRule type="expression" dxfId="1" priority="2">
      <formula>$A$20=""</formula>
    </cfRule>
  </conditionalFormatting>
  <conditionalFormatting sqref="E21">
    <cfRule type="expression" dxfId="0" priority="1">
      <formula>$A$21=""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dimension ref="A1:V52"/>
  <sheetViews>
    <sheetView topLeftCell="F1" workbookViewId="0">
      <selection activeCell="AB1" sqref="AB1"/>
    </sheetView>
  </sheetViews>
  <sheetFormatPr defaultRowHeight="15"/>
  <cols>
    <col min="1" max="1" width="10.42578125" customWidth="1"/>
    <col min="6" max="6" width="9.42578125" customWidth="1"/>
    <col min="7" max="7" width="11.85546875" customWidth="1"/>
    <col min="12" max="12" width="19.28515625" customWidth="1"/>
  </cols>
  <sheetData>
    <row r="1" spans="1:22" ht="45.75" customHeight="1" thickBot="1">
      <c r="A1" s="840" t="s">
        <v>3</v>
      </c>
      <c r="B1" s="840"/>
      <c r="C1" s="842" t="s">
        <v>1</v>
      </c>
      <c r="D1" s="842"/>
      <c r="E1" s="842"/>
      <c r="F1" s="842"/>
      <c r="G1" s="3" t="s">
        <v>2</v>
      </c>
      <c r="K1" t="s">
        <v>54</v>
      </c>
      <c r="N1" t="s">
        <v>54</v>
      </c>
      <c r="T1" t="s">
        <v>159</v>
      </c>
    </row>
    <row r="2" spans="1:22" ht="15.75" customHeight="1">
      <c r="A2" s="844" t="s">
        <v>7</v>
      </c>
      <c r="B2" s="844"/>
      <c r="C2" s="841" t="s">
        <v>18</v>
      </c>
      <c r="D2" s="841"/>
      <c r="E2" s="841"/>
      <c r="F2" s="841"/>
      <c r="G2" s="2">
        <v>0.75</v>
      </c>
      <c r="K2" t="s">
        <v>56</v>
      </c>
      <c r="L2" t="s">
        <v>63</v>
      </c>
      <c r="N2" t="s">
        <v>55</v>
      </c>
      <c r="O2" t="s">
        <v>62</v>
      </c>
      <c r="T2" t="s">
        <v>160</v>
      </c>
      <c r="V2" s="125" t="s">
        <v>266</v>
      </c>
    </row>
    <row r="3" spans="1:22" ht="15.75" customHeight="1">
      <c r="A3" s="844"/>
      <c r="B3" s="844"/>
      <c r="C3" s="841" t="s">
        <v>4</v>
      </c>
      <c r="D3" s="841"/>
      <c r="E3" s="841"/>
      <c r="F3" s="841"/>
      <c r="G3" s="2">
        <v>0.85</v>
      </c>
      <c r="K3" t="s">
        <v>57</v>
      </c>
      <c r="L3" t="s">
        <v>64</v>
      </c>
      <c r="N3" t="s">
        <v>69</v>
      </c>
      <c r="O3" t="s">
        <v>78</v>
      </c>
      <c r="T3" t="s">
        <v>161</v>
      </c>
      <c r="V3" s="123" t="s">
        <v>267</v>
      </c>
    </row>
    <row r="4" spans="1:22" ht="15.75" customHeight="1" thickBot="1">
      <c r="A4" s="844"/>
      <c r="B4" s="844"/>
      <c r="C4" s="841" t="s">
        <v>5</v>
      </c>
      <c r="D4" s="841"/>
      <c r="E4" s="841"/>
      <c r="F4" s="841"/>
      <c r="G4" s="2">
        <v>0.95</v>
      </c>
      <c r="K4" t="s">
        <v>58</v>
      </c>
      <c r="L4" t="s">
        <v>65</v>
      </c>
      <c r="N4" t="s">
        <v>70</v>
      </c>
      <c r="O4" t="s">
        <v>79</v>
      </c>
      <c r="T4" t="s">
        <v>162</v>
      </c>
      <c r="V4" s="124" t="s">
        <v>268</v>
      </c>
    </row>
    <row r="5" spans="1:22" ht="15.75" customHeight="1">
      <c r="A5" s="844"/>
      <c r="B5" s="844"/>
      <c r="C5" s="841" t="s">
        <v>6</v>
      </c>
      <c r="D5" s="841"/>
      <c r="E5" s="841"/>
      <c r="F5" s="841"/>
      <c r="G5" s="2">
        <v>1</v>
      </c>
      <c r="K5" t="s">
        <v>59</v>
      </c>
      <c r="L5" t="s">
        <v>66</v>
      </c>
      <c r="N5" t="s">
        <v>71</v>
      </c>
      <c r="O5" t="s">
        <v>80</v>
      </c>
      <c r="T5" t="s">
        <v>163</v>
      </c>
    </row>
    <row r="6" spans="1:22" ht="15.75" customHeight="1">
      <c r="A6" s="844"/>
      <c r="B6" s="844"/>
      <c r="C6" s="841"/>
      <c r="D6" s="841"/>
      <c r="E6" s="841"/>
      <c r="F6" s="841"/>
      <c r="G6" s="2"/>
      <c r="K6" t="s">
        <v>60</v>
      </c>
      <c r="L6" t="s">
        <v>67</v>
      </c>
      <c r="N6" t="s">
        <v>72</v>
      </c>
      <c r="O6" t="s">
        <v>81</v>
      </c>
      <c r="T6" t="s">
        <v>164</v>
      </c>
    </row>
    <row r="7" spans="1:22" ht="15.75" customHeight="1">
      <c r="A7" s="844" t="s">
        <v>8</v>
      </c>
      <c r="B7" s="844"/>
      <c r="C7" s="62" t="s">
        <v>229</v>
      </c>
      <c r="D7" s="61"/>
      <c r="E7" s="61"/>
      <c r="F7" s="61"/>
      <c r="G7" s="2">
        <v>1</v>
      </c>
      <c r="K7" t="s">
        <v>61</v>
      </c>
      <c r="L7" t="s">
        <v>68</v>
      </c>
      <c r="N7" t="s">
        <v>35</v>
      </c>
      <c r="O7" t="s">
        <v>82</v>
      </c>
      <c r="T7" t="s">
        <v>165</v>
      </c>
      <c r="V7" s="123" t="s">
        <v>272</v>
      </c>
    </row>
    <row r="8" spans="1:22" ht="15.75" customHeight="1">
      <c r="A8" s="844"/>
      <c r="B8" s="844"/>
      <c r="C8" s="62" t="s">
        <v>230</v>
      </c>
      <c r="D8" s="61"/>
      <c r="E8" s="61"/>
      <c r="F8" s="61"/>
      <c r="G8" s="2">
        <v>1.2</v>
      </c>
      <c r="N8" t="s">
        <v>73</v>
      </c>
      <c r="O8" t="s">
        <v>83</v>
      </c>
      <c r="T8" t="s">
        <v>166</v>
      </c>
      <c r="V8" s="123" t="s">
        <v>273</v>
      </c>
    </row>
    <row r="9" spans="1:22" ht="15.75" customHeight="1">
      <c r="A9" s="844"/>
      <c r="B9" s="844"/>
      <c r="C9" s="845"/>
      <c r="D9" s="845"/>
      <c r="E9" s="845"/>
      <c r="F9" s="845"/>
      <c r="G9" s="2"/>
      <c r="N9" t="s">
        <v>34</v>
      </c>
      <c r="O9" t="s">
        <v>84</v>
      </c>
      <c r="T9" t="s">
        <v>167</v>
      </c>
    </row>
    <row r="10" spans="1:22" ht="15.75" customHeight="1">
      <c r="A10" s="844" t="s">
        <v>9</v>
      </c>
      <c r="B10" s="844"/>
      <c r="C10" s="63" t="s">
        <v>11</v>
      </c>
      <c r="D10" s="63"/>
      <c r="E10" s="63"/>
      <c r="F10" s="63"/>
      <c r="G10" s="2">
        <v>1</v>
      </c>
      <c r="N10" t="s">
        <v>74</v>
      </c>
      <c r="O10" t="s">
        <v>85</v>
      </c>
      <c r="T10" t="s">
        <v>168</v>
      </c>
    </row>
    <row r="11" spans="1:22" ht="15.75" customHeight="1">
      <c r="A11" s="844"/>
      <c r="B11" s="844"/>
      <c r="C11" s="63" t="s">
        <v>12</v>
      </c>
      <c r="D11" s="63"/>
      <c r="E11" s="63"/>
      <c r="F11" s="63"/>
      <c r="G11" s="2">
        <v>1.05</v>
      </c>
      <c r="N11" t="s">
        <v>95</v>
      </c>
      <c r="T11" t="s">
        <v>169</v>
      </c>
    </row>
    <row r="12" spans="1:22" ht="15.75" customHeight="1">
      <c r="A12" s="844"/>
      <c r="B12" s="844"/>
      <c r="C12" s="63" t="s">
        <v>13</v>
      </c>
      <c r="D12" s="63"/>
      <c r="E12" s="63"/>
      <c r="F12" s="63"/>
      <c r="G12" s="2">
        <v>1.1499999999999999</v>
      </c>
      <c r="N12" t="s">
        <v>36</v>
      </c>
      <c r="T12" t="s">
        <v>170</v>
      </c>
    </row>
    <row r="13" spans="1:22" ht="15.75" customHeight="1">
      <c r="A13" s="844"/>
      <c r="B13" s="844"/>
      <c r="C13" s="841"/>
      <c r="D13" s="841"/>
      <c r="E13" s="841"/>
      <c r="F13" s="841"/>
      <c r="G13" s="2"/>
      <c r="N13" t="s">
        <v>96</v>
      </c>
      <c r="T13" t="s">
        <v>171</v>
      </c>
    </row>
    <row r="14" spans="1:22" ht="15.75" customHeight="1">
      <c r="A14" s="844" t="s">
        <v>10</v>
      </c>
      <c r="B14" s="844"/>
      <c r="C14" s="64" t="s">
        <v>14</v>
      </c>
      <c r="D14" s="64"/>
      <c r="E14" s="64"/>
      <c r="F14" s="64"/>
      <c r="G14" s="2">
        <v>0.89</v>
      </c>
      <c r="N14" t="s">
        <v>40</v>
      </c>
      <c r="T14" t="s">
        <v>172</v>
      </c>
    </row>
    <row r="15" spans="1:22" ht="15.75" customHeight="1">
      <c r="A15" s="844"/>
      <c r="B15" s="844"/>
      <c r="C15" s="64" t="s">
        <v>15</v>
      </c>
      <c r="D15" s="64"/>
      <c r="E15" s="64"/>
      <c r="F15" s="64"/>
      <c r="G15" s="2">
        <v>0.75</v>
      </c>
      <c r="N15" t="s">
        <v>98</v>
      </c>
      <c r="T15" t="s">
        <v>174</v>
      </c>
    </row>
    <row r="16" spans="1:22" ht="15.75" customHeight="1">
      <c r="A16" s="844"/>
      <c r="B16" s="844"/>
      <c r="C16" s="64" t="s">
        <v>16</v>
      </c>
      <c r="D16" s="64"/>
      <c r="E16" s="64"/>
      <c r="F16" s="64"/>
      <c r="G16" s="2">
        <v>1.25</v>
      </c>
      <c r="N16" t="s">
        <v>99</v>
      </c>
      <c r="T16" t="s">
        <v>176</v>
      </c>
    </row>
    <row r="17" spans="1:20" ht="15.75" customHeight="1">
      <c r="A17" s="844"/>
      <c r="B17" s="844"/>
      <c r="C17" s="64"/>
      <c r="D17" s="64"/>
      <c r="E17" s="64"/>
      <c r="F17" s="64"/>
      <c r="G17" s="2"/>
      <c r="N17" t="s">
        <v>100</v>
      </c>
      <c r="T17" t="s">
        <v>177</v>
      </c>
    </row>
    <row r="18" spans="1:20" ht="15.75" customHeight="1">
      <c r="A18" s="844" t="s">
        <v>17</v>
      </c>
      <c r="B18" s="844"/>
      <c r="C18" s="841" t="s">
        <v>42</v>
      </c>
      <c r="D18" s="841"/>
      <c r="E18" s="841"/>
      <c r="F18" s="841"/>
      <c r="G18" s="2"/>
      <c r="H18" s="7">
        <v>3</v>
      </c>
      <c r="N18" t="s">
        <v>101</v>
      </c>
      <c r="T18" t="s">
        <v>178</v>
      </c>
    </row>
    <row r="19" spans="1:20" ht="15.75" customHeight="1">
      <c r="A19" s="844"/>
      <c r="B19" s="844"/>
      <c r="C19" s="841" t="s">
        <v>43</v>
      </c>
      <c r="D19" s="841"/>
      <c r="E19" s="841"/>
      <c r="F19" s="841"/>
      <c r="G19" s="4"/>
      <c r="N19" t="s">
        <v>102</v>
      </c>
      <c r="T19" t="s">
        <v>179</v>
      </c>
    </row>
    <row r="20" spans="1:20" ht="15.75" customHeight="1">
      <c r="A20" s="844"/>
      <c r="B20" s="844"/>
      <c r="C20" s="843"/>
      <c r="D20" s="843"/>
      <c r="E20" s="843"/>
      <c r="F20" s="843"/>
      <c r="N20" s="8" t="s">
        <v>38</v>
      </c>
      <c r="O20" t="s">
        <v>86</v>
      </c>
      <c r="T20" t="s">
        <v>180</v>
      </c>
    </row>
    <row r="21" spans="1:20">
      <c r="N21" s="8" t="s">
        <v>37</v>
      </c>
      <c r="O21" t="s">
        <v>87</v>
      </c>
      <c r="T21" t="s">
        <v>181</v>
      </c>
    </row>
    <row r="22" spans="1:20">
      <c r="A22" t="s">
        <v>270</v>
      </c>
      <c r="B22" t="e">
        <f>+TAN(('Oturma-Yanal Yay. ve Muk. Kaybı'!CN18)*(PI()/180))</f>
        <v>#VALUE!</v>
      </c>
      <c r="N22" s="8" t="s">
        <v>75</v>
      </c>
      <c r="O22" t="s">
        <v>88</v>
      </c>
      <c r="T22" t="s">
        <v>173</v>
      </c>
    </row>
    <row r="23" spans="1:20">
      <c r="N23" s="8" t="s">
        <v>76</v>
      </c>
      <c r="O23" t="s">
        <v>89</v>
      </c>
      <c r="T23" t="s">
        <v>175</v>
      </c>
    </row>
    <row r="24" spans="1:20">
      <c r="N24" s="8" t="s">
        <v>39</v>
      </c>
      <c r="O24" t="s">
        <v>90</v>
      </c>
      <c r="T24" t="s">
        <v>182</v>
      </c>
    </row>
    <row r="25" spans="1:20">
      <c r="N25" s="8" t="s">
        <v>77</v>
      </c>
      <c r="O25" t="s">
        <v>92</v>
      </c>
      <c r="T25" t="s">
        <v>183</v>
      </c>
    </row>
    <row r="26" spans="1:20">
      <c r="N26" s="8" t="s">
        <v>61</v>
      </c>
      <c r="O26" t="s">
        <v>91</v>
      </c>
      <c r="T26" t="s">
        <v>184</v>
      </c>
    </row>
    <row r="27" spans="1:20" ht="15.75">
      <c r="A27" s="6" t="s">
        <v>20</v>
      </c>
      <c r="N27" s="8" t="s">
        <v>97</v>
      </c>
      <c r="T27" t="s">
        <v>185</v>
      </c>
    </row>
    <row r="28" spans="1:20" ht="15.75">
      <c r="A28" s="6" t="s">
        <v>31</v>
      </c>
      <c r="N28" s="8" t="s">
        <v>113</v>
      </c>
      <c r="T28" t="s">
        <v>186</v>
      </c>
    </row>
    <row r="29" spans="1:20" ht="15.75">
      <c r="A29" s="6" t="s">
        <v>145</v>
      </c>
      <c r="N29" s="8"/>
      <c r="T29" t="s">
        <v>187</v>
      </c>
    </row>
    <row r="30" spans="1:20" ht="15.75">
      <c r="A30" s="6"/>
      <c r="T30" t="s">
        <v>188</v>
      </c>
    </row>
    <row r="31" spans="1:20">
      <c r="T31" t="s">
        <v>189</v>
      </c>
    </row>
    <row r="32" spans="1:20">
      <c r="A32" s="9" t="s">
        <v>147</v>
      </c>
      <c r="T32" t="s">
        <v>190</v>
      </c>
    </row>
    <row r="33" spans="1:20">
      <c r="A33" s="9" t="s">
        <v>148</v>
      </c>
      <c r="T33" t="s">
        <v>191</v>
      </c>
    </row>
    <row r="34" spans="1:20">
      <c r="A34" s="9" t="s">
        <v>149</v>
      </c>
      <c r="T34" t="s">
        <v>192</v>
      </c>
    </row>
    <row r="35" spans="1:20">
      <c r="A35" s="9" t="s">
        <v>150</v>
      </c>
      <c r="T35" t="s">
        <v>193</v>
      </c>
    </row>
    <row r="36" spans="1:20">
      <c r="A36" s="9" t="s">
        <v>151</v>
      </c>
      <c r="T36" t="s">
        <v>194</v>
      </c>
    </row>
    <row r="37" spans="1:20">
      <c r="A37" s="9" t="s">
        <v>152</v>
      </c>
      <c r="T37" t="s">
        <v>195</v>
      </c>
    </row>
    <row r="38" spans="1:20">
      <c r="A38" s="9" t="s">
        <v>153</v>
      </c>
      <c r="T38" t="s">
        <v>196</v>
      </c>
    </row>
    <row r="39" spans="1:20">
      <c r="A39" s="9" t="s">
        <v>154</v>
      </c>
      <c r="T39" t="s">
        <v>197</v>
      </c>
    </row>
    <row r="40" spans="1:20">
      <c r="A40" s="9" t="s">
        <v>113</v>
      </c>
      <c r="T40" t="s">
        <v>198</v>
      </c>
    </row>
    <row r="41" spans="1:20">
      <c r="T41" t="s">
        <v>199</v>
      </c>
    </row>
    <row r="42" spans="1:20">
      <c r="T42" t="s">
        <v>200</v>
      </c>
    </row>
    <row r="43" spans="1:20">
      <c r="T43" t="s">
        <v>201</v>
      </c>
    </row>
    <row r="44" spans="1:20">
      <c r="T44" t="s">
        <v>202</v>
      </c>
    </row>
    <row r="45" spans="1:20">
      <c r="A45" t="s">
        <v>207</v>
      </c>
      <c r="T45" t="s">
        <v>203</v>
      </c>
    </row>
    <row r="46" spans="1:20">
      <c r="A46" t="s">
        <v>208</v>
      </c>
      <c r="T46" t="s">
        <v>204</v>
      </c>
    </row>
    <row r="47" spans="1:20">
      <c r="A47" t="s">
        <v>29</v>
      </c>
      <c r="T47" t="s">
        <v>205</v>
      </c>
    </row>
    <row r="48" spans="1:20">
      <c r="A48" t="s">
        <v>209</v>
      </c>
      <c r="T48" t="s">
        <v>113</v>
      </c>
    </row>
    <row r="49" spans="1:20">
      <c r="A49" t="s">
        <v>210</v>
      </c>
      <c r="T49" s="8"/>
    </row>
    <row r="52" spans="1:20">
      <c r="A52" t="s">
        <v>249</v>
      </c>
    </row>
  </sheetData>
  <mergeCells count="17">
    <mergeCell ref="C5:F5"/>
    <mergeCell ref="C20:F20"/>
    <mergeCell ref="A2:B6"/>
    <mergeCell ref="A18:B20"/>
    <mergeCell ref="C6:F6"/>
    <mergeCell ref="A7:B9"/>
    <mergeCell ref="C9:F9"/>
    <mergeCell ref="A10:B13"/>
    <mergeCell ref="C13:F13"/>
    <mergeCell ref="A14:B17"/>
    <mergeCell ref="C18:F18"/>
    <mergeCell ref="C19:F19"/>
    <mergeCell ref="A1:B1"/>
    <mergeCell ref="C2:F2"/>
    <mergeCell ref="C3:F3"/>
    <mergeCell ref="C1:F1"/>
    <mergeCell ref="C4:F4"/>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2</vt:i4>
      </vt:variant>
    </vt:vector>
  </HeadingPairs>
  <TitlesOfParts>
    <vt:vector size="6" baseType="lpstr">
      <vt:lpstr>Sıvılaşma Potansiyeli Analizi</vt:lpstr>
      <vt:lpstr>Oturma-Yanal Yay. ve Muk. Kaybı</vt:lpstr>
      <vt:lpstr>Killerin sıvılaşma duyarlılığı</vt:lpstr>
      <vt:lpstr>Tablolar</vt:lpstr>
      <vt:lpstr>'Oturma-Yanal Yay. ve Muk. Kaybı'!Yazdırma_Alanı</vt:lpstr>
      <vt:lpstr>'Sıvılaşma Potansiyeli Analizi'!Yazdırma_Alanı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2019-11-06T08:07:05Z</dcterms:modified>
</cp:coreProperties>
</file>